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Libre Acceso\Desktop\"/>
    </mc:Choice>
  </mc:AlternateContent>
  <xr:revisionPtr revIDLastSave="0" documentId="13_ncr:1_{BB679414-EF88-468C-93DF-E644BD7DACAB}" xr6:coauthVersionLast="47" xr6:coauthVersionMax="47" xr10:uidLastSave="{00000000-0000-0000-0000-000000000000}"/>
  <bookViews>
    <workbookView xWindow="-120" yWindow="-120" windowWidth="20730" windowHeight="11040" xr2:uid="{A7E27469-0A51-4BDB-9C58-027C8210BBB8}"/>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492" i="1" l="1"/>
  <c r="C1491" i="1"/>
  <c r="C1490" i="1"/>
  <c r="C1489" i="1"/>
  <c r="C1488" i="1"/>
  <c r="C1487" i="1"/>
  <c r="C1486" i="1"/>
  <c r="C1485" i="1"/>
  <c r="C1484" i="1"/>
  <c r="C1483" i="1"/>
  <c r="C1482" i="1"/>
  <c r="C1481" i="1"/>
  <c r="C1478" i="1"/>
  <c r="C1476" i="1"/>
  <c r="C1470" i="1"/>
  <c r="C1469" i="1"/>
  <c r="C1466" i="1"/>
  <c r="C1464" i="1"/>
  <c r="C1458" i="1"/>
  <c r="C1455" i="1"/>
  <c r="C1453" i="1"/>
  <c r="C1447" i="1"/>
  <c r="C1444" i="1"/>
  <c r="C1442" i="1"/>
  <c r="C1436" i="1"/>
  <c r="C1433" i="1"/>
  <c r="C1431" i="1"/>
  <c r="C1425" i="1"/>
  <c r="C1422" i="1"/>
  <c r="C1420" i="1"/>
  <c r="C1414" i="1"/>
  <c r="C1411" i="1"/>
  <c r="C1409" i="1"/>
  <c r="C1403" i="1"/>
  <c r="C1400" i="1"/>
  <c r="C1398" i="1"/>
  <c r="C1392" i="1"/>
  <c r="C1391" i="1"/>
  <c r="C1390" i="1"/>
  <c r="C1389" i="1"/>
  <c r="C1388" i="1"/>
  <c r="C1387" i="1"/>
  <c r="C1386" i="1"/>
  <c r="C1385" i="1"/>
  <c r="C1384" i="1"/>
  <c r="C1383" i="1"/>
  <c r="C1382" i="1"/>
  <c r="C1381" i="1"/>
  <c r="C1378" i="1"/>
  <c r="C1376" i="1"/>
  <c r="C1370" i="1"/>
  <c r="C1367" i="1"/>
  <c r="C1365" i="1"/>
  <c r="C1359" i="1"/>
  <c r="C1356" i="1"/>
  <c r="C1354" i="1"/>
  <c r="C1348" i="1"/>
  <c r="C1345" i="1"/>
  <c r="C1343" i="1"/>
  <c r="C1337" i="1"/>
  <c r="C1334" i="1"/>
  <c r="C1332" i="1"/>
  <c r="C1326" i="1"/>
  <c r="C1325" i="1"/>
  <c r="C1322" i="1"/>
  <c r="C1320" i="1"/>
  <c r="C1314" i="1"/>
  <c r="C1313" i="1"/>
  <c r="C1312" i="1"/>
  <c r="C1311" i="1"/>
  <c r="C1310" i="1"/>
  <c r="C1309" i="1"/>
  <c r="C1306" i="1"/>
  <c r="C1304" i="1"/>
  <c r="C1298" i="1"/>
  <c r="C1297" i="1"/>
  <c r="C1296" i="1"/>
  <c r="C1295" i="1"/>
  <c r="C1294" i="1"/>
  <c r="C1293" i="1"/>
  <c r="C1292" i="1"/>
  <c r="C1291" i="1"/>
  <c r="C1288" i="1"/>
  <c r="C1286" i="1"/>
  <c r="C1280" i="1"/>
  <c r="C1279" i="1"/>
  <c r="C1278" i="1"/>
  <c r="C1277" i="1"/>
  <c r="C1276" i="1"/>
  <c r="C1275" i="1"/>
  <c r="C1274" i="1"/>
  <c r="C1273" i="1"/>
  <c r="C1270" i="1"/>
  <c r="C1268" i="1"/>
  <c r="C1262" i="1"/>
  <c r="C1261" i="1"/>
  <c r="C1260" i="1"/>
  <c r="C1259" i="1"/>
  <c r="C1258" i="1"/>
  <c r="C1257" i="1"/>
  <c r="C1256" i="1"/>
  <c r="C1255" i="1"/>
  <c r="C1254" i="1"/>
  <c r="C1253" i="1"/>
  <c r="C1252" i="1"/>
  <c r="C1251" i="1"/>
  <c r="C1250" i="1"/>
  <c r="C1249" i="1"/>
  <c r="C1248" i="1"/>
  <c r="C1247" i="1"/>
  <c r="C1246" i="1"/>
  <c r="C1245" i="1"/>
  <c r="C1242" i="1"/>
  <c r="C1240"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2" i="1"/>
  <c r="C1200"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2" i="1"/>
  <c r="C1160"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2" i="1"/>
  <c r="C1120" i="1"/>
  <c r="C1114" i="1"/>
  <c r="C1113" i="1"/>
  <c r="C1112" i="1"/>
  <c r="C1111" i="1"/>
  <c r="C1110" i="1"/>
  <c r="C1109" i="1"/>
  <c r="C1108" i="1"/>
  <c r="C1107" i="1"/>
  <c r="C1104" i="1"/>
  <c r="C1102" i="1"/>
  <c r="C1096" i="1"/>
  <c r="C1095" i="1"/>
  <c r="C1094" i="1"/>
  <c r="C1093" i="1"/>
  <c r="C1092" i="1"/>
  <c r="C1091" i="1"/>
  <c r="C1090" i="1"/>
  <c r="C1089" i="1"/>
  <c r="C1086" i="1"/>
  <c r="C1084" i="1"/>
  <c r="C1078" i="1"/>
  <c r="C1077" i="1"/>
  <c r="C1076" i="1"/>
  <c r="C1075" i="1"/>
  <c r="C1074" i="1"/>
  <c r="C1073" i="1"/>
  <c r="C1072" i="1"/>
  <c r="C1071" i="1"/>
  <c r="C1068" i="1"/>
  <c r="C1066" i="1"/>
  <c r="C1060" i="1"/>
  <c r="C1059" i="1"/>
  <c r="C1058" i="1"/>
  <c r="C1057" i="1"/>
  <c r="C1056" i="1"/>
  <c r="C1055" i="1"/>
  <c r="C1054" i="1"/>
  <c r="C1053" i="1"/>
  <c r="C1050" i="1"/>
  <c r="C1048" i="1"/>
  <c r="C1042" i="1"/>
  <c r="C1041" i="1"/>
  <c r="C1040" i="1"/>
  <c r="C1039" i="1"/>
  <c r="C1038" i="1"/>
  <c r="C1037" i="1"/>
  <c r="C1036" i="1"/>
  <c r="C1035" i="1"/>
  <c r="C1032" i="1"/>
  <c r="C1030" i="1"/>
  <c r="C1024" i="1"/>
  <c r="C1023" i="1"/>
  <c r="C1022" i="1"/>
  <c r="C1021" i="1"/>
  <c r="C1020" i="1"/>
  <c r="C1019" i="1"/>
  <c r="C1018" i="1"/>
  <c r="C1017" i="1"/>
  <c r="C1014" i="1"/>
  <c r="C1012" i="1"/>
  <c r="C1006" i="1"/>
  <c r="C1005" i="1"/>
  <c r="C1004" i="1"/>
  <c r="C1003" i="1"/>
  <c r="C1002" i="1"/>
  <c r="C1001" i="1"/>
  <c r="C1000" i="1"/>
  <c r="C999" i="1"/>
  <c r="C996" i="1"/>
  <c r="C994"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2" i="1"/>
  <c r="C950" i="1"/>
  <c r="C944" i="1"/>
  <c r="C943" i="1"/>
  <c r="C942" i="1"/>
  <c r="C941" i="1"/>
  <c r="C940" i="1"/>
  <c r="C937" i="1"/>
  <c r="C935" i="1"/>
  <c r="C929" i="1"/>
  <c r="C928" i="1"/>
  <c r="C927" i="1"/>
  <c r="C926" i="1"/>
  <c r="C925" i="1"/>
  <c r="C922" i="1"/>
  <c r="C920" i="1"/>
  <c r="C914" i="1"/>
  <c r="C913" i="1"/>
  <c r="C912" i="1"/>
  <c r="C911" i="1"/>
  <c r="C910" i="1"/>
  <c r="C907" i="1"/>
  <c r="C905" i="1"/>
  <c r="C899" i="1"/>
  <c r="C898" i="1"/>
  <c r="C897" i="1"/>
  <c r="C896" i="1"/>
  <c r="C895" i="1"/>
  <c r="C892" i="1"/>
  <c r="C890" i="1"/>
  <c r="C884" i="1"/>
  <c r="C883" i="1"/>
  <c r="C882" i="1"/>
  <c r="C881" i="1"/>
  <c r="C880" i="1"/>
  <c r="C877" i="1"/>
  <c r="C875" i="1"/>
  <c r="C869" i="1"/>
  <c r="C868" i="1"/>
  <c r="C867" i="1"/>
  <c r="C866" i="1"/>
  <c r="C865" i="1"/>
  <c r="C862" i="1"/>
  <c r="C860" i="1"/>
  <c r="C854" i="1"/>
  <c r="C853" i="1"/>
  <c r="C852" i="1"/>
  <c r="C851" i="1"/>
  <c r="C850" i="1"/>
  <c r="C847" i="1"/>
  <c r="C845" i="1"/>
  <c r="C839" i="1"/>
  <c r="C838" i="1"/>
  <c r="C837" i="1"/>
  <c r="C836" i="1"/>
  <c r="C835" i="1"/>
  <c r="C832" i="1"/>
  <c r="C830" i="1"/>
  <c r="C824" i="1"/>
  <c r="C823" i="1"/>
  <c r="C822" i="1"/>
  <c r="C821" i="1"/>
  <c r="C820" i="1"/>
  <c r="C817" i="1"/>
  <c r="C815"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3" i="1"/>
  <c r="C761"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09" i="1"/>
  <c r="C707"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5" i="1"/>
  <c r="C653"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1" i="1"/>
  <c r="C599"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7" i="1"/>
  <c r="C545"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3" i="1"/>
  <c r="C491"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39" i="1"/>
  <c r="C437"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398" i="1"/>
  <c r="C396"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7" i="1"/>
  <c r="C355"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6" i="1"/>
  <c r="C314"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5" i="1"/>
  <c r="C273"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4" i="1"/>
  <c r="C232"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3" i="1"/>
  <c r="C191"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2" i="1"/>
  <c r="C150"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08" i="1"/>
  <c r="C106"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1" i="1"/>
  <c r="C29" i="1"/>
  <c r="C23" i="1"/>
  <c r="C20" i="1"/>
  <c r="C18" i="1"/>
  <c r="B3" i="1"/>
  <c r="F1491" i="1"/>
  <c r="B1489" i="1"/>
  <c r="F1487" i="1"/>
  <c r="B1485" i="1"/>
  <c r="F1483" i="1"/>
  <c r="B1481" i="1"/>
  <c r="F1470" i="1"/>
  <c r="F1391" i="1"/>
  <c r="B1389" i="1"/>
  <c r="F1387" i="1"/>
  <c r="B1385" i="1"/>
  <c r="F1383" i="1"/>
  <c r="B1381" i="1"/>
  <c r="F1370" i="1"/>
  <c r="B1359" i="1"/>
  <c r="F1348" i="1"/>
  <c r="B1337" i="1"/>
  <c r="F1326" i="1"/>
  <c r="F1313" i="1"/>
  <c r="B1311" i="1"/>
  <c r="F1309" i="1"/>
  <c r="B1298" i="1"/>
  <c r="F1296" i="1"/>
  <c r="B1294" i="1"/>
  <c r="F1292" i="1"/>
  <c r="F1279" i="1"/>
  <c r="B1277" i="1"/>
  <c r="F1275" i="1"/>
  <c r="B1273" i="1"/>
  <c r="F1262" i="1"/>
  <c r="B1260" i="1"/>
  <c r="F1258" i="1"/>
  <c r="B1256" i="1"/>
  <c r="F1254" i="1"/>
  <c r="B1252" i="1"/>
  <c r="F1250" i="1"/>
  <c r="B1248" i="1"/>
  <c r="F1246" i="1"/>
  <c r="F1233" i="1"/>
  <c r="B1231" i="1"/>
  <c r="F1229" i="1"/>
  <c r="B1227" i="1"/>
  <c r="F1225" i="1"/>
  <c r="B1223" i="1"/>
  <c r="F1221" i="1"/>
  <c r="B1219" i="1"/>
  <c r="F1217" i="1"/>
  <c r="B1215" i="1"/>
  <c r="F1213" i="1"/>
  <c r="B1211" i="1"/>
  <c r="F1209" i="1"/>
  <c r="B1207" i="1"/>
  <c r="F1205" i="1"/>
  <c r="B1194" i="1"/>
  <c r="F1192" i="1"/>
  <c r="B1190" i="1"/>
  <c r="F1188" i="1"/>
  <c r="B1186" i="1"/>
  <c r="F1184" i="1"/>
  <c r="B1182" i="1"/>
  <c r="F1180" i="1"/>
  <c r="B1178" i="1"/>
  <c r="F1176" i="1"/>
  <c r="B1174" i="1"/>
  <c r="F1172" i="1"/>
  <c r="B1170" i="1"/>
  <c r="F1168" i="1"/>
  <c r="B1166" i="1"/>
  <c r="B1153" i="1"/>
  <c r="F1151" i="1"/>
  <c r="B1149" i="1"/>
  <c r="F1147" i="1"/>
  <c r="B1145" i="1"/>
  <c r="F1143" i="1"/>
  <c r="B1141" i="1"/>
  <c r="F1139" i="1"/>
  <c r="B1137" i="1"/>
  <c r="F1135" i="1"/>
  <c r="B1133" i="1"/>
  <c r="F1131" i="1"/>
  <c r="B1129" i="1"/>
  <c r="F1127" i="1"/>
  <c r="B1125" i="1"/>
  <c r="F1114" i="1"/>
  <c r="B1112" i="1"/>
  <c r="F1110" i="1"/>
  <c r="B1108" i="1"/>
  <c r="B1095" i="1"/>
  <c r="F1093" i="1"/>
  <c r="B1091" i="1"/>
  <c r="F1089" i="1"/>
  <c r="B1078" i="1"/>
  <c r="F1076" i="1"/>
  <c r="B1074" i="1"/>
  <c r="F1072" i="1"/>
  <c r="F1059" i="1"/>
  <c r="B1057" i="1"/>
  <c r="F1055" i="1"/>
  <c r="B1053" i="1"/>
  <c r="F1042" i="1"/>
  <c r="B1040" i="1"/>
  <c r="F1038" i="1"/>
  <c r="B1036" i="1"/>
  <c r="B1023" i="1"/>
  <c r="F1021" i="1"/>
  <c r="B1019" i="1"/>
  <c r="F1017" i="1"/>
  <c r="B1006" i="1"/>
  <c r="F1004" i="1"/>
  <c r="B1002" i="1"/>
  <c r="F1000" i="1"/>
  <c r="F987" i="1"/>
  <c r="F1492" i="1"/>
  <c r="B1490" i="1"/>
  <c r="F1488" i="1"/>
  <c r="B1486" i="1"/>
  <c r="F1484" i="1"/>
  <c r="B1482" i="1"/>
  <c r="B1469" i="1"/>
  <c r="F1458" i="1"/>
  <c r="B1447" i="1"/>
  <c r="F1436" i="1"/>
  <c r="B1425" i="1"/>
  <c r="F1414" i="1"/>
  <c r="B1403" i="1"/>
  <c r="F1392" i="1"/>
  <c r="B1390" i="1"/>
  <c r="F1388" i="1"/>
  <c r="B1386" i="1"/>
  <c r="F1384" i="1"/>
  <c r="B1382" i="1"/>
  <c r="B1325" i="1"/>
  <c r="F1314" i="1"/>
  <c r="B1312" i="1"/>
  <c r="F1310" i="1"/>
  <c r="F1297" i="1"/>
  <c r="B1295" i="1"/>
  <c r="F1293" i="1"/>
  <c r="B1291" i="1"/>
  <c r="F1280" i="1"/>
  <c r="B1278" i="1"/>
  <c r="F1276" i="1"/>
  <c r="B1274" i="1"/>
  <c r="B1261" i="1"/>
  <c r="F1259" i="1"/>
  <c r="B1257" i="1"/>
  <c r="F1255" i="1"/>
  <c r="B1253" i="1"/>
  <c r="F1251" i="1"/>
  <c r="B1249" i="1"/>
  <c r="F1247" i="1"/>
  <c r="B1245" i="1"/>
  <c r="F1234" i="1"/>
  <c r="B1232" i="1"/>
  <c r="F1230" i="1"/>
  <c r="B1228" i="1"/>
  <c r="F1226" i="1"/>
  <c r="B1224" i="1"/>
  <c r="F1222" i="1"/>
  <c r="B1220" i="1"/>
  <c r="F1218" i="1"/>
  <c r="B1216" i="1"/>
  <c r="F1214" i="1"/>
  <c r="B1212" i="1"/>
  <c r="F1210" i="1"/>
  <c r="B1208" i="1"/>
  <c r="F1206" i="1"/>
  <c r="F1193" i="1"/>
  <c r="B1191" i="1"/>
  <c r="F1189" i="1"/>
  <c r="B1187" i="1"/>
  <c r="F1185" i="1"/>
  <c r="B1183" i="1"/>
  <c r="F1181" i="1"/>
  <c r="B1179" i="1"/>
  <c r="F1177" i="1"/>
  <c r="B1175" i="1"/>
  <c r="F1173" i="1"/>
  <c r="B1171" i="1"/>
  <c r="F1169" i="1"/>
  <c r="B1167" i="1"/>
  <c r="F1165" i="1"/>
  <c r="B1154" i="1"/>
  <c r="F1152" i="1"/>
  <c r="B1150" i="1"/>
  <c r="F1148" i="1"/>
  <c r="B1146" i="1"/>
  <c r="F1144" i="1"/>
  <c r="B1142" i="1"/>
  <c r="F1140" i="1"/>
  <c r="B1138" i="1"/>
  <c r="F1136" i="1"/>
  <c r="B1134" i="1"/>
  <c r="F1132" i="1"/>
  <c r="B1130" i="1"/>
  <c r="F1128" i="1"/>
  <c r="B1126" i="1"/>
  <c r="B1113" i="1"/>
  <c r="F1111" i="1"/>
  <c r="B1109" i="1"/>
  <c r="F1107" i="1"/>
  <c r="B1096" i="1"/>
  <c r="F1094" i="1"/>
  <c r="B1092" i="1"/>
  <c r="F1090" i="1"/>
  <c r="F1077" i="1"/>
  <c r="B1075" i="1"/>
  <c r="F1073" i="1"/>
  <c r="B1071" i="1"/>
  <c r="F1060" i="1"/>
  <c r="B1058" i="1"/>
  <c r="F1056" i="1"/>
  <c r="B1054" i="1"/>
  <c r="B1041" i="1"/>
  <c r="F1039" i="1"/>
  <c r="B1037" i="1"/>
  <c r="F1035" i="1"/>
  <c r="B1024" i="1"/>
  <c r="F1022" i="1"/>
  <c r="B1020" i="1"/>
  <c r="F1018" i="1"/>
  <c r="F1005" i="1"/>
  <c r="B1491" i="1"/>
  <c r="F1489" i="1"/>
  <c r="B1487" i="1"/>
  <c r="F1485" i="1"/>
  <c r="B1483" i="1"/>
  <c r="F1481" i="1"/>
  <c r="B1470" i="1"/>
  <c r="B1391" i="1"/>
  <c r="F1389" i="1"/>
  <c r="B1387" i="1"/>
  <c r="F1385" i="1"/>
  <c r="B1383" i="1"/>
  <c r="F1381" i="1"/>
  <c r="B1370" i="1"/>
  <c r="F1359" i="1"/>
  <c r="B1348" i="1"/>
  <c r="F1337" i="1"/>
  <c r="B1326" i="1"/>
  <c r="B1313" i="1"/>
  <c r="F1311" i="1"/>
  <c r="B1309" i="1"/>
  <c r="F1298" i="1"/>
  <c r="B1296" i="1"/>
  <c r="F1294" i="1"/>
  <c r="B1292" i="1"/>
  <c r="B1279" i="1"/>
  <c r="F1277" i="1"/>
  <c r="B1275" i="1"/>
  <c r="F1273" i="1"/>
  <c r="B1262" i="1"/>
  <c r="F1260" i="1"/>
  <c r="B1258" i="1"/>
  <c r="F1256" i="1"/>
  <c r="B1254" i="1"/>
  <c r="F1252" i="1"/>
  <c r="B1250" i="1"/>
  <c r="F1248" i="1"/>
  <c r="B1246" i="1"/>
  <c r="B1233" i="1"/>
  <c r="F1231" i="1"/>
  <c r="B1229" i="1"/>
  <c r="F1227" i="1"/>
  <c r="B1225" i="1"/>
  <c r="F1223" i="1"/>
  <c r="B1221" i="1"/>
  <c r="F1219" i="1"/>
  <c r="B1217" i="1"/>
  <c r="F1215" i="1"/>
  <c r="B1213" i="1"/>
  <c r="F1211" i="1"/>
  <c r="B1209" i="1"/>
  <c r="F1207" i="1"/>
  <c r="B1205" i="1"/>
  <c r="F1194" i="1"/>
  <c r="B1192" i="1"/>
  <c r="F1190" i="1"/>
  <c r="B1188" i="1"/>
  <c r="F1186" i="1"/>
  <c r="B1184" i="1"/>
  <c r="F1182" i="1"/>
  <c r="B1180" i="1"/>
  <c r="F1178" i="1"/>
  <c r="B1176" i="1"/>
  <c r="F1174" i="1"/>
  <c r="B1172" i="1"/>
  <c r="F1170" i="1"/>
  <c r="B1168" i="1"/>
  <c r="F1166" i="1"/>
  <c r="F1153" i="1"/>
  <c r="B1151" i="1"/>
  <c r="F1149" i="1"/>
  <c r="B1147" i="1"/>
  <c r="F1145" i="1"/>
  <c r="B1143" i="1"/>
  <c r="F1141" i="1"/>
  <c r="B1139" i="1"/>
  <c r="F1137" i="1"/>
  <c r="B1135" i="1"/>
  <c r="F1133" i="1"/>
  <c r="B1131" i="1"/>
  <c r="F1129" i="1"/>
  <c r="B1127" i="1"/>
  <c r="F1125" i="1"/>
  <c r="B1114" i="1"/>
  <c r="F1112" i="1"/>
  <c r="B1110" i="1"/>
  <c r="F1108" i="1"/>
  <c r="F1095" i="1"/>
  <c r="B1093" i="1"/>
  <c r="F1091" i="1"/>
  <c r="B1089" i="1"/>
  <c r="F1078" i="1"/>
  <c r="B1076" i="1"/>
  <c r="F1074" i="1"/>
  <c r="B1072" i="1"/>
  <c r="B1059" i="1"/>
  <c r="F1057" i="1"/>
  <c r="B1055" i="1"/>
  <c r="F1053" i="1"/>
  <c r="B1042" i="1"/>
  <c r="F1040" i="1"/>
  <c r="B1038" i="1"/>
  <c r="F1036" i="1"/>
  <c r="F1023" i="1"/>
  <c r="B1021" i="1"/>
  <c r="F1019" i="1"/>
  <c r="B1017" i="1"/>
  <c r="F1006" i="1"/>
  <c r="B1004" i="1"/>
  <c r="F1002" i="1"/>
  <c r="B1000" i="1"/>
  <c r="B1280" i="1"/>
  <c r="F1274" i="1"/>
  <c r="B1234" i="1"/>
  <c r="F1228" i="1"/>
  <c r="B1226" i="1"/>
  <c r="F1220" i="1"/>
  <c r="B1218" i="1"/>
  <c r="F1212" i="1"/>
  <c r="B1210" i="1"/>
  <c r="B1193" i="1"/>
  <c r="F1187" i="1"/>
  <c r="B1185" i="1"/>
  <c r="F1179" i="1"/>
  <c r="B1177" i="1"/>
  <c r="F1171" i="1"/>
  <c r="B1169" i="1"/>
  <c r="F1109" i="1"/>
  <c r="B1107" i="1"/>
  <c r="B1060" i="1"/>
  <c r="F1054" i="1"/>
  <c r="F1024" i="1"/>
  <c r="B1022" i="1"/>
  <c r="B1005" i="1"/>
  <c r="B1003" i="1"/>
  <c r="B1001" i="1"/>
  <c r="B999" i="1"/>
  <c r="F986" i="1"/>
  <c r="B984" i="1"/>
  <c r="F982" i="1"/>
  <c r="B980" i="1"/>
  <c r="F978" i="1"/>
  <c r="B976" i="1"/>
  <c r="F974" i="1"/>
  <c r="B972" i="1"/>
  <c r="F970" i="1"/>
  <c r="B968" i="1"/>
  <c r="F966" i="1"/>
  <c r="B964" i="1"/>
  <c r="F962" i="1"/>
  <c r="B960" i="1"/>
  <c r="F958" i="1"/>
  <c r="B956" i="1"/>
  <c r="B943" i="1"/>
  <c r="F941" i="1"/>
  <c r="F928" i="1"/>
  <c r="B926" i="1"/>
  <c r="B913" i="1"/>
  <c r="F911" i="1"/>
  <c r="F898" i="1"/>
  <c r="B896" i="1"/>
  <c r="B883" i="1"/>
  <c r="F881" i="1"/>
  <c r="F868" i="1"/>
  <c r="B866" i="1"/>
  <c r="B853" i="1"/>
  <c r="F851" i="1"/>
  <c r="F838" i="1"/>
  <c r="B836" i="1"/>
  <c r="B823" i="1"/>
  <c r="F821" i="1"/>
  <c r="F808" i="1"/>
  <c r="B806" i="1"/>
  <c r="F804" i="1"/>
  <c r="B802" i="1"/>
  <c r="F800" i="1"/>
  <c r="B798" i="1"/>
  <c r="F796" i="1"/>
  <c r="B794" i="1"/>
  <c r="F792" i="1"/>
  <c r="B790" i="1"/>
  <c r="F788" i="1"/>
  <c r="B786" i="1"/>
  <c r="F784" i="1"/>
  <c r="B782" i="1"/>
  <c r="F780" i="1"/>
  <c r="B778" i="1"/>
  <c r="F776" i="1"/>
  <c r="B774" i="1"/>
  <c r="F772" i="1"/>
  <c r="B770" i="1"/>
  <c r="F768" i="1"/>
  <c r="B766" i="1"/>
  <c r="F755" i="1"/>
  <c r="B753" i="1"/>
  <c r="F751" i="1"/>
  <c r="B749" i="1"/>
  <c r="F747" i="1"/>
  <c r="B745" i="1"/>
  <c r="F743" i="1"/>
  <c r="B741" i="1"/>
  <c r="F739" i="1"/>
  <c r="B737" i="1"/>
  <c r="F735" i="1"/>
  <c r="B733" i="1"/>
  <c r="F731" i="1"/>
  <c r="B729" i="1"/>
  <c r="F727" i="1"/>
  <c r="B725" i="1"/>
  <c r="F723" i="1"/>
  <c r="B721" i="1"/>
  <c r="F719" i="1"/>
  <c r="B717" i="1"/>
  <c r="F715" i="1"/>
  <c r="B713" i="1"/>
  <c r="B700" i="1"/>
  <c r="F698" i="1"/>
  <c r="B696" i="1"/>
  <c r="F694" i="1"/>
  <c r="B692" i="1"/>
  <c r="F690" i="1"/>
  <c r="B688" i="1"/>
  <c r="F686" i="1"/>
  <c r="B684" i="1"/>
  <c r="F682" i="1"/>
  <c r="B680" i="1"/>
  <c r="F678" i="1"/>
  <c r="B676" i="1"/>
  <c r="F674" i="1"/>
  <c r="B672" i="1"/>
  <c r="F670" i="1"/>
  <c r="B668" i="1"/>
  <c r="F666" i="1"/>
  <c r="B664" i="1"/>
  <c r="F662" i="1"/>
  <c r="B660" i="1"/>
  <c r="F658" i="1"/>
  <c r="B647" i="1"/>
  <c r="F645" i="1"/>
  <c r="B643" i="1"/>
  <c r="F641" i="1"/>
  <c r="B639" i="1"/>
  <c r="F637" i="1"/>
  <c r="B635" i="1"/>
  <c r="F633" i="1"/>
  <c r="B631" i="1"/>
  <c r="F629" i="1"/>
  <c r="B627" i="1"/>
  <c r="F625" i="1"/>
  <c r="B623" i="1"/>
  <c r="F621" i="1"/>
  <c r="B619" i="1"/>
  <c r="F617" i="1"/>
  <c r="B615" i="1"/>
  <c r="F613" i="1"/>
  <c r="B611" i="1"/>
  <c r="F609" i="1"/>
  <c r="B607" i="1"/>
  <c r="F605" i="1"/>
  <c r="F592" i="1"/>
  <c r="B590" i="1"/>
  <c r="F588" i="1"/>
  <c r="B586" i="1"/>
  <c r="F584" i="1"/>
  <c r="B582" i="1"/>
  <c r="F580" i="1"/>
  <c r="B578" i="1"/>
  <c r="F576" i="1"/>
  <c r="B574" i="1"/>
  <c r="F572" i="1"/>
  <c r="B570" i="1"/>
  <c r="F568" i="1"/>
  <c r="B566" i="1"/>
  <c r="F564" i="1"/>
  <c r="B562" i="1"/>
  <c r="F560" i="1"/>
  <c r="B558" i="1"/>
  <c r="F556" i="1"/>
  <c r="B554" i="1"/>
  <c r="F552" i="1"/>
  <c r="B550" i="1"/>
  <c r="F539" i="1"/>
  <c r="B537" i="1"/>
  <c r="F535" i="1"/>
  <c r="B533" i="1"/>
  <c r="F531" i="1"/>
  <c r="B529" i="1"/>
  <c r="F527" i="1"/>
  <c r="B525" i="1"/>
  <c r="F523" i="1"/>
  <c r="B521" i="1"/>
  <c r="F519" i="1"/>
  <c r="B517" i="1"/>
  <c r="F515" i="1"/>
  <c r="B513" i="1"/>
  <c r="F511" i="1"/>
  <c r="B509" i="1"/>
  <c r="F507" i="1"/>
  <c r="B505" i="1"/>
  <c r="F503" i="1"/>
  <c r="B501" i="1"/>
  <c r="F499" i="1"/>
  <c r="B497" i="1"/>
  <c r="B484" i="1"/>
  <c r="F482" i="1"/>
  <c r="B480" i="1"/>
  <c r="F478" i="1"/>
  <c r="B476" i="1"/>
  <c r="F474" i="1"/>
  <c r="B472" i="1"/>
  <c r="F470" i="1"/>
  <c r="B468" i="1"/>
  <c r="F466" i="1"/>
  <c r="B464" i="1"/>
  <c r="F462" i="1"/>
  <c r="B460" i="1"/>
  <c r="F458" i="1"/>
  <c r="B456" i="1"/>
  <c r="F454" i="1"/>
  <c r="B452" i="1"/>
  <c r="F450" i="1"/>
  <c r="B448" i="1"/>
  <c r="F446" i="1"/>
  <c r="B444" i="1"/>
  <c r="F442" i="1"/>
  <c r="B431" i="1"/>
  <c r="F429" i="1"/>
  <c r="B427" i="1"/>
  <c r="F425" i="1"/>
  <c r="B423" i="1"/>
  <c r="F421" i="1"/>
  <c r="B419" i="1"/>
  <c r="F417" i="1"/>
  <c r="B415" i="1"/>
  <c r="F413" i="1"/>
  <c r="B411" i="1"/>
  <c r="F409" i="1"/>
  <c r="B407" i="1"/>
  <c r="F405" i="1"/>
  <c r="B403" i="1"/>
  <c r="F401" i="1"/>
  <c r="B390" i="1"/>
  <c r="F388" i="1"/>
  <c r="B386" i="1"/>
  <c r="F384" i="1"/>
  <c r="B382" i="1"/>
  <c r="F380" i="1"/>
  <c r="B378" i="1"/>
  <c r="F376" i="1"/>
  <c r="B374" i="1"/>
  <c r="F372" i="1"/>
  <c r="B370" i="1"/>
  <c r="F368" i="1"/>
  <c r="B1492" i="1"/>
  <c r="F1486" i="1"/>
  <c r="B1484" i="1"/>
  <c r="F1469" i="1"/>
  <c r="F1447" i="1"/>
  <c r="F1425" i="1"/>
  <c r="F1403" i="1"/>
  <c r="B1314" i="1"/>
  <c r="B1297" i="1"/>
  <c r="F1291" i="1"/>
  <c r="F1257" i="1"/>
  <c r="B1255" i="1"/>
  <c r="F1249" i="1"/>
  <c r="B1247" i="1"/>
  <c r="F1232" i="1"/>
  <c r="B1230" i="1"/>
  <c r="F1216" i="1"/>
  <c r="B1214" i="1"/>
  <c r="F1150" i="1"/>
  <c r="B1148" i="1"/>
  <c r="F1142" i="1"/>
  <c r="B1140" i="1"/>
  <c r="F1134" i="1"/>
  <c r="B1132" i="1"/>
  <c r="F1126" i="1"/>
  <c r="F1020" i="1"/>
  <c r="B1018" i="1"/>
  <c r="F985" i="1"/>
  <c r="B981" i="1"/>
  <c r="F977" i="1"/>
  <c r="B973" i="1"/>
  <c r="F969" i="1"/>
  <c r="B965" i="1"/>
  <c r="F961" i="1"/>
  <c r="B957" i="1"/>
  <c r="F943" i="1"/>
  <c r="B942" i="1"/>
  <c r="F929" i="1"/>
  <c r="B928" i="1"/>
  <c r="F926" i="1"/>
  <c r="B925" i="1"/>
  <c r="F914" i="1"/>
  <c r="B910" i="1"/>
  <c r="F897" i="1"/>
  <c r="F882" i="1"/>
  <c r="B881" i="1"/>
  <c r="B869" i="1"/>
  <c r="F865" i="1"/>
  <c r="B854" i="1"/>
  <c r="F850" i="1"/>
  <c r="B837" i="1"/>
  <c r="F823" i="1"/>
  <c r="B822" i="1"/>
  <c r="F809" i="1"/>
  <c r="B808" i="1"/>
  <c r="F806" i="1"/>
  <c r="B805" i="1"/>
  <c r="F801" i="1"/>
  <c r="B800" i="1"/>
  <c r="F798" i="1"/>
  <c r="B797" i="1"/>
  <c r="F793" i="1"/>
  <c r="B792" i="1"/>
  <c r="F790" i="1"/>
  <c r="B789" i="1"/>
  <c r="F785" i="1"/>
  <c r="B784" i="1"/>
  <c r="F782" i="1"/>
  <c r="B781" i="1"/>
  <c r="F777" i="1"/>
  <c r="B776" i="1"/>
  <c r="F774" i="1"/>
  <c r="B773" i="1"/>
  <c r="F769" i="1"/>
  <c r="B768" i="1"/>
  <c r="F766" i="1"/>
  <c r="F752" i="1"/>
  <c r="B751" i="1"/>
  <c r="F749" i="1"/>
  <c r="B748" i="1"/>
  <c r="F744" i="1"/>
  <c r="B743" i="1"/>
  <c r="F741" i="1"/>
  <c r="B740" i="1"/>
  <c r="F736" i="1"/>
  <c r="B735" i="1"/>
  <c r="F733" i="1"/>
  <c r="B732" i="1"/>
  <c r="F728" i="1"/>
  <c r="B727" i="1"/>
  <c r="F725" i="1"/>
  <c r="B724" i="1"/>
  <c r="F720" i="1"/>
  <c r="B719" i="1"/>
  <c r="F717" i="1"/>
  <c r="B716" i="1"/>
  <c r="F712" i="1"/>
  <c r="B701" i="1"/>
  <c r="F697" i="1"/>
  <c r="B693" i="1"/>
  <c r="F689" i="1"/>
  <c r="B685" i="1"/>
  <c r="F681" i="1"/>
  <c r="B677" i="1"/>
  <c r="F673" i="1"/>
  <c r="B669" i="1"/>
  <c r="F665" i="1"/>
  <c r="B661" i="1"/>
  <c r="B644" i="1"/>
  <c r="F640" i="1"/>
  <c r="B636" i="1"/>
  <c r="F632" i="1"/>
  <c r="B628" i="1"/>
  <c r="F624" i="1"/>
  <c r="B620" i="1"/>
  <c r="F616" i="1"/>
  <c r="B612" i="1"/>
  <c r="F608" i="1"/>
  <c r="B604" i="1"/>
  <c r="F591" i="1"/>
  <c r="B587" i="1"/>
  <c r="F583" i="1"/>
  <c r="B579" i="1"/>
  <c r="B1458" i="1"/>
  <c r="B1436" i="1"/>
  <c r="B1414" i="1"/>
  <c r="B1392" i="1"/>
  <c r="F1386" i="1"/>
  <c r="B1384" i="1"/>
  <c r="F1191" i="1"/>
  <c r="B1189" i="1"/>
  <c r="F1175" i="1"/>
  <c r="B1173" i="1"/>
  <c r="F1096" i="1"/>
  <c r="B1094" i="1"/>
  <c r="B1077" i="1"/>
  <c r="F1071" i="1"/>
  <c r="F1037" i="1"/>
  <c r="B1035" i="1"/>
  <c r="F999" i="1"/>
  <c r="F988" i="1"/>
  <c r="B987" i="1"/>
  <c r="F983" i="1"/>
  <c r="B982" i="1"/>
  <c r="F980" i="1"/>
  <c r="B979" i="1"/>
  <c r="F975" i="1"/>
  <c r="B974" i="1"/>
  <c r="F972" i="1"/>
  <c r="B971" i="1"/>
  <c r="F967" i="1"/>
  <c r="B966" i="1"/>
  <c r="F964" i="1"/>
  <c r="B963" i="1"/>
  <c r="F959" i="1"/>
  <c r="B958" i="1"/>
  <c r="F956" i="1"/>
  <c r="B955" i="1"/>
  <c r="F944" i="1"/>
  <c r="B940" i="1"/>
  <c r="F927" i="1"/>
  <c r="F912" i="1"/>
  <c r="B911" i="1"/>
  <c r="B899" i="1"/>
  <c r="F895" i="1"/>
  <c r="B884" i="1"/>
  <c r="F880" i="1"/>
  <c r="B867" i="1"/>
  <c r="F853" i="1"/>
  <c r="B852" i="1"/>
  <c r="F839" i="1"/>
  <c r="B838" i="1"/>
  <c r="F836" i="1"/>
  <c r="B835" i="1"/>
  <c r="F824" i="1"/>
  <c r="B820" i="1"/>
  <c r="F807" i="1"/>
  <c r="B803" i="1"/>
  <c r="F799" i="1"/>
  <c r="B795" i="1"/>
  <c r="F791" i="1"/>
  <c r="B787" i="1"/>
  <c r="F783" i="1"/>
  <c r="B779" i="1"/>
  <c r="F775" i="1"/>
  <c r="B771" i="1"/>
  <c r="F767" i="1"/>
  <c r="B754" i="1"/>
  <c r="F750" i="1"/>
  <c r="B746" i="1"/>
  <c r="F742" i="1"/>
  <c r="B738" i="1"/>
  <c r="F734" i="1"/>
  <c r="B730" i="1"/>
  <c r="F726" i="1"/>
  <c r="B722" i="1"/>
  <c r="F718" i="1"/>
  <c r="B714" i="1"/>
  <c r="F700" i="1"/>
  <c r="B699" i="1"/>
  <c r="F695" i="1"/>
  <c r="B694" i="1"/>
  <c r="F692" i="1"/>
  <c r="B691" i="1"/>
  <c r="F687" i="1"/>
  <c r="B686" i="1"/>
  <c r="F684" i="1"/>
  <c r="B683" i="1"/>
  <c r="F679" i="1"/>
  <c r="B678" i="1"/>
  <c r="F676" i="1"/>
  <c r="B675" i="1"/>
  <c r="F671" i="1"/>
  <c r="B670" i="1"/>
  <c r="F668" i="1"/>
  <c r="B667" i="1"/>
  <c r="F663" i="1"/>
  <c r="B662" i="1"/>
  <c r="F660" i="1"/>
  <c r="B659" i="1"/>
  <c r="F646" i="1"/>
  <c r="B645" i="1"/>
  <c r="F643" i="1"/>
  <c r="B642" i="1"/>
  <c r="F638" i="1"/>
  <c r="B637" i="1"/>
  <c r="F635" i="1"/>
  <c r="B634" i="1"/>
  <c r="F630" i="1"/>
  <c r="B629" i="1"/>
  <c r="F627" i="1"/>
  <c r="B626" i="1"/>
  <c r="F622" i="1"/>
  <c r="B621" i="1"/>
  <c r="F619" i="1"/>
  <c r="B618" i="1"/>
  <c r="F614" i="1"/>
  <c r="B613" i="1"/>
  <c r="F611" i="1"/>
  <c r="B610" i="1"/>
  <c r="F606" i="1"/>
  <c r="B605" i="1"/>
  <c r="B593" i="1"/>
  <c r="F589" i="1"/>
  <c r="B588" i="1"/>
  <c r="F586" i="1"/>
  <c r="F1482" i="1"/>
  <c r="F1312" i="1"/>
  <c r="B1310" i="1"/>
  <c r="F1183" i="1"/>
  <c r="B1181" i="1"/>
  <c r="F1075" i="1"/>
  <c r="B1073" i="1"/>
  <c r="B988" i="1"/>
  <c r="F976" i="1"/>
  <c r="F971" i="1"/>
  <c r="F960" i="1"/>
  <c r="F955" i="1"/>
  <c r="B929" i="1"/>
  <c r="F913" i="1"/>
  <c r="B898" i="1"/>
  <c r="F883" i="1"/>
  <c r="B868" i="1"/>
  <c r="F852" i="1"/>
  <c r="B821" i="1"/>
  <c r="B801" i="1"/>
  <c r="B796" i="1"/>
  <c r="B785" i="1"/>
  <c r="B780" i="1"/>
  <c r="B769" i="1"/>
  <c r="B755" i="1"/>
  <c r="B744" i="1"/>
  <c r="B739" i="1"/>
  <c r="B728" i="1"/>
  <c r="B723" i="1"/>
  <c r="B712" i="1"/>
  <c r="F696" i="1"/>
  <c r="F691" i="1"/>
  <c r="F680" i="1"/>
  <c r="F675" i="1"/>
  <c r="F664" i="1"/>
  <c r="F659" i="1"/>
  <c r="F644" i="1"/>
  <c r="B640" i="1"/>
  <c r="B638" i="1"/>
  <c r="B633" i="1"/>
  <c r="F628" i="1"/>
  <c r="B624" i="1"/>
  <c r="B622" i="1"/>
  <c r="B617" i="1"/>
  <c r="F612" i="1"/>
  <c r="B608" i="1"/>
  <c r="B606" i="1"/>
  <c r="F590" i="1"/>
  <c r="F585" i="1"/>
  <c r="B584" i="1"/>
  <c r="F578" i="1"/>
  <c r="B577" i="1"/>
  <c r="F573" i="1"/>
  <c r="B572" i="1"/>
  <c r="F570" i="1"/>
  <c r="B569" i="1"/>
  <c r="F565" i="1"/>
  <c r="B564" i="1"/>
  <c r="F562" i="1"/>
  <c r="B561" i="1"/>
  <c r="F557" i="1"/>
  <c r="B556" i="1"/>
  <c r="F554" i="1"/>
  <c r="B553" i="1"/>
  <c r="B539" i="1"/>
  <c r="F537" i="1"/>
  <c r="B536" i="1"/>
  <c r="F532" i="1"/>
  <c r="B531" i="1"/>
  <c r="F529" i="1"/>
  <c r="B528" i="1"/>
  <c r="F524" i="1"/>
  <c r="B523" i="1"/>
  <c r="F521" i="1"/>
  <c r="B520" i="1"/>
  <c r="F516" i="1"/>
  <c r="B515" i="1"/>
  <c r="F513" i="1"/>
  <c r="B512" i="1"/>
  <c r="F508" i="1"/>
  <c r="B507" i="1"/>
  <c r="F505" i="1"/>
  <c r="B504" i="1"/>
  <c r="F500" i="1"/>
  <c r="B499" i="1"/>
  <c r="F497" i="1"/>
  <c r="B496" i="1"/>
  <c r="F485" i="1"/>
  <c r="B481" i="1"/>
  <c r="F477" i="1"/>
  <c r="B473" i="1"/>
  <c r="F469" i="1"/>
  <c r="B465" i="1"/>
  <c r="F461" i="1"/>
  <c r="B457" i="1"/>
  <c r="F453" i="1"/>
  <c r="B449" i="1"/>
  <c r="F445" i="1"/>
  <c r="F428" i="1"/>
  <c r="B424" i="1"/>
  <c r="F420" i="1"/>
  <c r="B416" i="1"/>
  <c r="F412" i="1"/>
  <c r="B408" i="1"/>
  <c r="F404" i="1"/>
  <c r="F387" i="1"/>
  <c r="B383" i="1"/>
  <c r="F379" i="1"/>
  <c r="B375" i="1"/>
  <c r="F371" i="1"/>
  <c r="B367" i="1"/>
  <c r="F365" i="1"/>
  <c r="B363" i="1"/>
  <c r="F361" i="1"/>
  <c r="F348" i="1"/>
  <c r="B346" i="1"/>
  <c r="F344" i="1"/>
  <c r="B342" i="1"/>
  <c r="F340" i="1"/>
  <c r="B338" i="1"/>
  <c r="F336" i="1"/>
  <c r="B334" i="1"/>
  <c r="F332" i="1"/>
  <c r="B330" i="1"/>
  <c r="F328" i="1"/>
  <c r="B326" i="1"/>
  <c r="F324" i="1"/>
  <c r="B322" i="1"/>
  <c r="F320" i="1"/>
  <c r="F307" i="1"/>
  <c r="B305" i="1"/>
  <c r="F303" i="1"/>
  <c r="B301" i="1"/>
  <c r="F299" i="1"/>
  <c r="B297" i="1"/>
  <c r="F295" i="1"/>
  <c r="B293" i="1"/>
  <c r="F291" i="1"/>
  <c r="B289" i="1"/>
  <c r="F287" i="1"/>
  <c r="B285" i="1"/>
  <c r="F283" i="1"/>
  <c r="B281" i="1"/>
  <c r="F279" i="1"/>
  <c r="F266" i="1"/>
  <c r="B264" i="1"/>
  <c r="F262" i="1"/>
  <c r="B260" i="1"/>
  <c r="F258" i="1"/>
  <c r="B256" i="1"/>
  <c r="F254" i="1"/>
  <c r="B252" i="1"/>
  <c r="F250" i="1"/>
  <c r="B248" i="1"/>
  <c r="F246" i="1"/>
  <c r="B244" i="1"/>
  <c r="F242" i="1"/>
  <c r="B240" i="1"/>
  <c r="F238" i="1"/>
  <c r="F225" i="1"/>
  <c r="B223" i="1"/>
  <c r="F221" i="1"/>
  <c r="B219" i="1"/>
  <c r="F217" i="1"/>
  <c r="B215" i="1"/>
  <c r="F213" i="1"/>
  <c r="B211" i="1"/>
  <c r="F209" i="1"/>
  <c r="B207" i="1"/>
  <c r="F205" i="1"/>
  <c r="B203" i="1"/>
  <c r="F201" i="1"/>
  <c r="B199" i="1"/>
  <c r="F197" i="1"/>
  <c r="F184" i="1"/>
  <c r="B182" i="1"/>
  <c r="F180" i="1"/>
  <c r="B178" i="1"/>
  <c r="F176" i="1"/>
  <c r="B174" i="1"/>
  <c r="F172" i="1"/>
  <c r="B170" i="1"/>
  <c r="F168" i="1"/>
  <c r="B166" i="1"/>
  <c r="F164" i="1"/>
  <c r="B162" i="1"/>
  <c r="F160" i="1"/>
  <c r="B158" i="1"/>
  <c r="F156" i="1"/>
  <c r="F143" i="1"/>
  <c r="B141" i="1"/>
  <c r="F139" i="1"/>
  <c r="B137" i="1"/>
  <c r="F135" i="1"/>
  <c r="B133" i="1"/>
  <c r="F131" i="1"/>
  <c r="B129" i="1"/>
  <c r="F127" i="1"/>
  <c r="B125" i="1"/>
  <c r="F123" i="1"/>
  <c r="B121" i="1"/>
  <c r="F119" i="1"/>
  <c r="B117" i="1"/>
  <c r="F115" i="1"/>
  <c r="B113" i="1"/>
  <c r="F111" i="1"/>
  <c r="B100" i="1"/>
  <c r="F98" i="1"/>
  <c r="B96" i="1"/>
  <c r="F94" i="1"/>
  <c r="B92" i="1"/>
  <c r="F90" i="1"/>
  <c r="B88" i="1"/>
  <c r="F86" i="1"/>
  <c r="B84" i="1"/>
  <c r="F82" i="1"/>
  <c r="B80" i="1"/>
  <c r="F78" i="1"/>
  <c r="B76" i="1"/>
  <c r="F74" i="1"/>
  <c r="F1390" i="1"/>
  <c r="B1388" i="1"/>
  <c r="F1261" i="1"/>
  <c r="B1259" i="1"/>
  <c r="F1245" i="1"/>
  <c r="F1208" i="1"/>
  <c r="B1206" i="1"/>
  <c r="F1154" i="1"/>
  <c r="B1152" i="1"/>
  <c r="F1138" i="1"/>
  <c r="B1136" i="1"/>
  <c r="F1092" i="1"/>
  <c r="B1090" i="1"/>
  <c r="F1001" i="1"/>
  <c r="B985" i="1"/>
  <c r="B983" i="1"/>
  <c r="B978" i="1"/>
  <c r="F973" i="1"/>
  <c r="B969" i="1"/>
  <c r="B967" i="1"/>
  <c r="B962" i="1"/>
  <c r="F957" i="1"/>
  <c r="B944" i="1"/>
  <c r="F925" i="1"/>
  <c r="F910" i="1"/>
  <c r="F899" i="1"/>
  <c r="F869" i="1"/>
  <c r="F867" i="1"/>
  <c r="F854" i="1"/>
  <c r="B850" i="1"/>
  <c r="B839" i="1"/>
  <c r="F822" i="1"/>
  <c r="F820" i="1"/>
  <c r="B807" i="1"/>
  <c r="F802" i="1"/>
  <c r="F797" i="1"/>
  <c r="F795" i="1"/>
  <c r="B791" i="1"/>
  <c r="F786" i="1"/>
  <c r="F781" i="1"/>
  <c r="F779" i="1"/>
  <c r="B775" i="1"/>
  <c r="F770" i="1"/>
  <c r="F754" i="1"/>
  <c r="B750" i="1"/>
  <c r="F745" i="1"/>
  <c r="F740" i="1"/>
  <c r="F738" i="1"/>
  <c r="B734" i="1"/>
  <c r="F729" i="1"/>
  <c r="F724" i="1"/>
  <c r="F722" i="1"/>
  <c r="B718" i="1"/>
  <c r="F713" i="1"/>
  <c r="B698" i="1"/>
  <c r="F693" i="1"/>
  <c r="B689" i="1"/>
  <c r="B687" i="1"/>
  <c r="B682" i="1"/>
  <c r="F677" i="1"/>
  <c r="B673" i="1"/>
  <c r="B671" i="1"/>
  <c r="B666" i="1"/>
  <c r="F661" i="1"/>
  <c r="F639" i="1"/>
  <c r="F634" i="1"/>
  <c r="F623" i="1"/>
  <c r="F618" i="1"/>
  <c r="F607" i="1"/>
  <c r="B592" i="1"/>
  <c r="F587" i="1"/>
  <c r="F581" i="1"/>
  <c r="B580" i="1"/>
  <c r="B575" i="1"/>
  <c r="F571" i="1"/>
  <c r="B567" i="1"/>
  <c r="F563" i="1"/>
  <c r="B559" i="1"/>
  <c r="F555" i="1"/>
  <c r="B551" i="1"/>
  <c r="F538" i="1"/>
  <c r="B534" i="1"/>
  <c r="F530" i="1"/>
  <c r="B526" i="1"/>
  <c r="F522" i="1"/>
  <c r="B518" i="1"/>
  <c r="F514" i="1"/>
  <c r="B510" i="1"/>
  <c r="F506" i="1"/>
  <c r="B502" i="1"/>
  <c r="F498" i="1"/>
  <c r="F483" i="1"/>
  <c r="B482" i="1"/>
  <c r="F480" i="1"/>
  <c r="B479" i="1"/>
  <c r="F475" i="1"/>
  <c r="B474" i="1"/>
  <c r="F472" i="1"/>
  <c r="B471" i="1"/>
  <c r="F467" i="1"/>
  <c r="B466" i="1"/>
  <c r="F464" i="1"/>
  <c r="B463" i="1"/>
  <c r="F459" i="1"/>
  <c r="B458" i="1"/>
  <c r="F456" i="1"/>
  <c r="B455" i="1"/>
  <c r="F451" i="1"/>
  <c r="B450" i="1"/>
  <c r="F448" i="1"/>
  <c r="B447" i="1"/>
  <c r="F443" i="1"/>
  <c r="B442" i="1"/>
  <c r="F431" i="1"/>
  <c r="B430" i="1"/>
  <c r="F426" i="1"/>
  <c r="B425" i="1"/>
  <c r="F423" i="1"/>
  <c r="B422" i="1"/>
  <c r="F418" i="1"/>
  <c r="B417" i="1"/>
  <c r="F415" i="1"/>
  <c r="B414" i="1"/>
  <c r="F410" i="1"/>
  <c r="B409" i="1"/>
  <c r="F407" i="1"/>
  <c r="B406" i="1"/>
  <c r="F402" i="1"/>
  <c r="B401" i="1"/>
  <c r="F390" i="1"/>
  <c r="B389" i="1"/>
  <c r="F385" i="1"/>
  <c r="B384" i="1"/>
  <c r="F382" i="1"/>
  <c r="B381" i="1"/>
  <c r="F377" i="1"/>
  <c r="B376" i="1"/>
  <c r="F374" i="1"/>
  <c r="B373" i="1"/>
  <c r="F369" i="1"/>
  <c r="B368" i="1"/>
  <c r="F366" i="1"/>
  <c r="B364" i="1"/>
  <c r="F362" i="1"/>
  <c r="B360" i="1"/>
  <c r="F349" i="1"/>
  <c r="B347" i="1"/>
  <c r="F345" i="1"/>
  <c r="B343" i="1"/>
  <c r="F341" i="1"/>
  <c r="B339" i="1"/>
  <c r="F337" i="1"/>
  <c r="B335" i="1"/>
  <c r="F333" i="1"/>
  <c r="B331" i="1"/>
  <c r="F329" i="1"/>
  <c r="B327" i="1"/>
  <c r="F325" i="1"/>
  <c r="B323" i="1"/>
  <c r="F321" i="1"/>
  <c r="B319" i="1"/>
  <c r="F308" i="1"/>
  <c r="B306" i="1"/>
  <c r="F304" i="1"/>
  <c r="B302" i="1"/>
  <c r="F300" i="1"/>
  <c r="B298" i="1"/>
  <c r="F296" i="1"/>
  <c r="B294" i="1"/>
  <c r="F292" i="1"/>
  <c r="B290" i="1"/>
  <c r="F288" i="1"/>
  <c r="B286" i="1"/>
  <c r="F284" i="1"/>
  <c r="B282" i="1"/>
  <c r="F280" i="1"/>
  <c r="B278" i="1"/>
  <c r="F267" i="1"/>
  <c r="B265" i="1"/>
  <c r="F263" i="1"/>
  <c r="B261" i="1"/>
  <c r="F259" i="1"/>
  <c r="B257" i="1"/>
  <c r="F255" i="1"/>
  <c r="B253" i="1"/>
  <c r="F251" i="1"/>
  <c r="B249" i="1"/>
  <c r="F247" i="1"/>
  <c r="B245" i="1"/>
  <c r="F243" i="1"/>
  <c r="B241" i="1"/>
  <c r="F239" i="1"/>
  <c r="B237" i="1"/>
  <c r="F226" i="1"/>
  <c r="B224" i="1"/>
  <c r="F222" i="1"/>
  <c r="B220" i="1"/>
  <c r="F218" i="1"/>
  <c r="B216" i="1"/>
  <c r="F214" i="1"/>
  <c r="B212" i="1"/>
  <c r="F210" i="1"/>
  <c r="B208" i="1"/>
  <c r="F206" i="1"/>
  <c r="B204" i="1"/>
  <c r="F202" i="1"/>
  <c r="B200" i="1"/>
  <c r="F198" i="1"/>
  <c r="B196" i="1"/>
  <c r="F185" i="1"/>
  <c r="B183" i="1"/>
  <c r="F181" i="1"/>
  <c r="B179" i="1"/>
  <c r="F177" i="1"/>
  <c r="B175" i="1"/>
  <c r="F173" i="1"/>
  <c r="B171" i="1"/>
  <c r="F169" i="1"/>
  <c r="B167" i="1"/>
  <c r="F165" i="1"/>
  <c r="B163" i="1"/>
  <c r="F161" i="1"/>
  <c r="B159" i="1"/>
  <c r="F157" i="1"/>
  <c r="B155" i="1"/>
  <c r="F144" i="1"/>
  <c r="B142" i="1"/>
  <c r="F140" i="1"/>
  <c r="B138" i="1"/>
  <c r="F136" i="1"/>
  <c r="B134" i="1"/>
  <c r="F132" i="1"/>
  <c r="B130" i="1"/>
  <c r="F128" i="1"/>
  <c r="B126" i="1"/>
  <c r="F124" i="1"/>
  <c r="B122" i="1"/>
  <c r="F120" i="1"/>
  <c r="B118" i="1"/>
  <c r="F116" i="1"/>
  <c r="B114" i="1"/>
  <c r="F112" i="1"/>
  <c r="F99" i="1"/>
  <c r="B97" i="1"/>
  <c r="F95" i="1"/>
  <c r="B93" i="1"/>
  <c r="F91" i="1"/>
  <c r="B89" i="1"/>
  <c r="F87" i="1"/>
  <c r="B85" i="1"/>
  <c r="F83" i="1"/>
  <c r="F1490" i="1"/>
  <c r="B1488" i="1"/>
  <c r="F1325" i="1"/>
  <c r="F1278" i="1"/>
  <c r="B1276" i="1"/>
  <c r="F1167" i="1"/>
  <c r="B1165" i="1"/>
  <c r="F1113" i="1"/>
  <c r="B1111" i="1"/>
  <c r="F1041" i="1"/>
  <c r="B1039" i="1"/>
  <c r="F1003" i="1"/>
  <c r="F979" i="1"/>
  <c r="B977" i="1"/>
  <c r="B880" i="1"/>
  <c r="B851" i="1"/>
  <c r="B799" i="1"/>
  <c r="B793" i="1"/>
  <c r="F789" i="1"/>
  <c r="F787" i="1"/>
  <c r="B767" i="1"/>
  <c r="B747" i="1"/>
  <c r="F737" i="1"/>
  <c r="B715" i="1"/>
  <c r="F683" i="1"/>
  <c r="B681" i="1"/>
  <c r="B632" i="1"/>
  <c r="B630" i="1"/>
  <c r="F626" i="1"/>
  <c r="F620" i="1"/>
  <c r="F574" i="1"/>
  <c r="F569" i="1"/>
  <c r="F567" i="1"/>
  <c r="B563" i="1"/>
  <c r="F558" i="1"/>
  <c r="F553" i="1"/>
  <c r="F551" i="1"/>
  <c r="B532" i="1"/>
  <c r="B527" i="1"/>
  <c r="B516" i="1"/>
  <c r="B511" i="1"/>
  <c r="B500" i="1"/>
  <c r="F484" i="1"/>
  <c r="F479" i="1"/>
  <c r="F468" i="1"/>
  <c r="F463" i="1"/>
  <c r="F452" i="1"/>
  <c r="F447" i="1"/>
  <c r="F427" i="1"/>
  <c r="F422" i="1"/>
  <c r="F411" i="1"/>
  <c r="F406" i="1"/>
  <c r="F386" i="1"/>
  <c r="F381" i="1"/>
  <c r="F370" i="1"/>
  <c r="B366" i="1"/>
  <c r="B362" i="1"/>
  <c r="B349" i="1"/>
  <c r="B345" i="1"/>
  <c r="B341" i="1"/>
  <c r="B337" i="1"/>
  <c r="B333" i="1"/>
  <c r="B329" i="1"/>
  <c r="B325" i="1"/>
  <c r="B321" i="1"/>
  <c r="B308" i="1"/>
  <c r="B304" i="1"/>
  <c r="B300" i="1"/>
  <c r="B296" i="1"/>
  <c r="B292" i="1"/>
  <c r="B288" i="1"/>
  <c r="B284" i="1"/>
  <c r="B280" i="1"/>
  <c r="B267" i="1"/>
  <c r="B263" i="1"/>
  <c r="B259" i="1"/>
  <c r="B255" i="1"/>
  <c r="B251" i="1"/>
  <c r="B247" i="1"/>
  <c r="B243" i="1"/>
  <c r="B239" i="1"/>
  <c r="B226" i="1"/>
  <c r="B222" i="1"/>
  <c r="B218" i="1"/>
  <c r="B214" i="1"/>
  <c r="B210" i="1"/>
  <c r="B206" i="1"/>
  <c r="B202" i="1"/>
  <c r="B198" i="1"/>
  <c r="B185" i="1"/>
  <c r="B181" i="1"/>
  <c r="B177" i="1"/>
  <c r="B173" i="1"/>
  <c r="B169" i="1"/>
  <c r="B165" i="1"/>
  <c r="B161" i="1"/>
  <c r="B157" i="1"/>
  <c r="B144" i="1"/>
  <c r="B140" i="1"/>
  <c r="B136" i="1"/>
  <c r="B132" i="1"/>
  <c r="B128" i="1"/>
  <c r="B124" i="1"/>
  <c r="B120" i="1"/>
  <c r="B116" i="1"/>
  <c r="B112" i="1"/>
  <c r="B99" i="1"/>
  <c r="B95" i="1"/>
  <c r="B91" i="1"/>
  <c r="B87" i="1"/>
  <c r="B83" i="1"/>
  <c r="F79" i="1"/>
  <c r="B78" i="1"/>
  <c r="F76" i="1"/>
  <c r="B75" i="1"/>
  <c r="B72" i="1"/>
  <c r="F70" i="1"/>
  <c r="B68" i="1"/>
  <c r="F66" i="1"/>
  <c r="B64" i="1"/>
  <c r="F62" i="1"/>
  <c r="B60" i="1"/>
  <c r="F58" i="1"/>
  <c r="B56" i="1"/>
  <c r="F54" i="1"/>
  <c r="B52" i="1"/>
  <c r="F50" i="1"/>
  <c r="B48" i="1"/>
  <c r="F46" i="1"/>
  <c r="B44" i="1"/>
  <c r="F42" i="1"/>
  <c r="B40" i="1"/>
  <c r="F38" i="1"/>
  <c r="B36" i="1"/>
  <c r="F34" i="1"/>
  <c r="B23" i="1"/>
  <c r="B41" i="1"/>
  <c r="F39" i="1"/>
  <c r="B340" i="1"/>
  <c r="B336" i="1"/>
  <c r="B332" i="1"/>
  <c r="B324" i="1"/>
  <c r="B320" i="1"/>
  <c r="B303" i="1"/>
  <c r="B299" i="1"/>
  <c r="B287" i="1"/>
  <c r="B266" i="1"/>
  <c r="B262" i="1"/>
  <c r="B258" i="1"/>
  <c r="B254" i="1"/>
  <c r="B250" i="1"/>
  <c r="B246" i="1"/>
  <c r="B213" i="1"/>
  <c r="B201" i="1"/>
  <c r="B176" i="1"/>
  <c r="B164" i="1"/>
  <c r="B143" i="1"/>
  <c r="B135" i="1"/>
  <c r="B123" i="1"/>
  <c r="B119" i="1"/>
  <c r="B86" i="1"/>
  <c r="B70" i="1"/>
  <c r="B66" i="1"/>
  <c r="F64" i="1"/>
  <c r="F56" i="1"/>
  <c r="B54" i="1"/>
  <c r="F52" i="1"/>
  <c r="B42" i="1"/>
  <c r="F40" i="1"/>
  <c r="F1146" i="1"/>
  <c r="B975" i="1"/>
  <c r="F778" i="1"/>
  <c r="B658" i="1"/>
  <c r="B625" i="1"/>
  <c r="B557" i="1"/>
  <c r="B552" i="1"/>
  <c r="F536" i="1"/>
  <c r="F525" i="1"/>
  <c r="F520" i="1"/>
  <c r="F509" i="1"/>
  <c r="B467" i="1"/>
  <c r="F457" i="1"/>
  <c r="B453" i="1"/>
  <c r="B426" i="1"/>
  <c r="B421" i="1"/>
  <c r="B410" i="1"/>
  <c r="F360" i="1"/>
  <c r="F343" i="1"/>
  <c r="F339" i="1"/>
  <c r="F335" i="1"/>
  <c r="F327" i="1"/>
  <c r="F323" i="1"/>
  <c r="F298" i="1"/>
  <c r="F294" i="1"/>
  <c r="F261" i="1"/>
  <c r="F224" i="1"/>
  <c r="F220" i="1"/>
  <c r="F204" i="1"/>
  <c r="F183" i="1"/>
  <c r="F171" i="1"/>
  <c r="F159" i="1"/>
  <c r="F114" i="1"/>
  <c r="F97" i="1"/>
  <c r="F93" i="1"/>
  <c r="F81" i="1"/>
  <c r="F73" i="1"/>
  <c r="F65" i="1"/>
  <c r="B63" i="1"/>
  <c r="F61" i="1"/>
  <c r="F1224" i="1"/>
  <c r="B1222" i="1"/>
  <c r="F1130" i="1"/>
  <c r="B1128" i="1"/>
  <c r="F1058" i="1"/>
  <c r="B1056" i="1"/>
  <c r="F984" i="1"/>
  <c r="F981" i="1"/>
  <c r="B970" i="1"/>
  <c r="B959" i="1"/>
  <c r="B941" i="1"/>
  <c r="B927" i="1"/>
  <c r="F884" i="1"/>
  <c r="B882" i="1"/>
  <c r="B865" i="1"/>
  <c r="F835" i="1"/>
  <c r="B804" i="1"/>
  <c r="F794" i="1"/>
  <c r="B772" i="1"/>
  <c r="B752" i="1"/>
  <c r="F748" i="1"/>
  <c r="F746" i="1"/>
  <c r="B726" i="1"/>
  <c r="B720" i="1"/>
  <c r="F716" i="1"/>
  <c r="F714" i="1"/>
  <c r="B695" i="1"/>
  <c r="F688" i="1"/>
  <c r="F685" i="1"/>
  <c r="B674" i="1"/>
  <c r="B663" i="1"/>
  <c r="B641" i="1"/>
  <c r="F631" i="1"/>
  <c r="B609" i="1"/>
  <c r="B589" i="1"/>
  <c r="B583" i="1"/>
  <c r="B581" i="1"/>
  <c r="B576" i="1"/>
  <c r="B565" i="1"/>
  <c r="B560" i="1"/>
  <c r="B538" i="1"/>
  <c r="F533" i="1"/>
  <c r="F528" i="1"/>
  <c r="F526" i="1"/>
  <c r="B522" i="1"/>
  <c r="F517" i="1"/>
  <c r="F512" i="1"/>
  <c r="F510" i="1"/>
  <c r="B506" i="1"/>
  <c r="F501" i="1"/>
  <c r="F496" i="1"/>
  <c r="F481" i="1"/>
  <c r="B477" i="1"/>
  <c r="B475" i="1"/>
  <c r="B470" i="1"/>
  <c r="F465" i="1"/>
  <c r="B461" i="1"/>
  <c r="B459" i="1"/>
  <c r="B454" i="1"/>
  <c r="F449" i="1"/>
  <c r="B445" i="1"/>
  <c r="B443" i="1"/>
  <c r="B429" i="1"/>
  <c r="F424" i="1"/>
  <c r="B420" i="1"/>
  <c r="B418" i="1"/>
  <c r="B413" i="1"/>
  <c r="F408" i="1"/>
  <c r="B404" i="1"/>
  <c r="B402" i="1"/>
  <c r="B388" i="1"/>
  <c r="F383" i="1"/>
  <c r="B379" i="1"/>
  <c r="B377" i="1"/>
  <c r="B372" i="1"/>
  <c r="F367" i="1"/>
  <c r="F363" i="1"/>
  <c r="F346" i="1"/>
  <c r="F342" i="1"/>
  <c r="F338" i="1"/>
  <c r="F334" i="1"/>
  <c r="F330" i="1"/>
  <c r="F326" i="1"/>
  <c r="F322" i="1"/>
  <c r="F305" i="1"/>
  <c r="F301" i="1"/>
  <c r="F297" i="1"/>
  <c r="F293" i="1"/>
  <c r="F289" i="1"/>
  <c r="F285" i="1"/>
  <c r="F281" i="1"/>
  <c r="F264" i="1"/>
  <c r="F260" i="1"/>
  <c r="F256" i="1"/>
  <c r="F252" i="1"/>
  <c r="F248" i="1"/>
  <c r="F244" i="1"/>
  <c r="F240" i="1"/>
  <c r="F223" i="1"/>
  <c r="F219" i="1"/>
  <c r="F215" i="1"/>
  <c r="F211" i="1"/>
  <c r="F207" i="1"/>
  <c r="F203" i="1"/>
  <c r="F199" i="1"/>
  <c r="F182" i="1"/>
  <c r="F178" i="1"/>
  <c r="F174" i="1"/>
  <c r="F170" i="1"/>
  <c r="F166" i="1"/>
  <c r="F162" i="1"/>
  <c r="F158" i="1"/>
  <c r="F141" i="1"/>
  <c r="F137" i="1"/>
  <c r="F133" i="1"/>
  <c r="F129" i="1"/>
  <c r="F125" i="1"/>
  <c r="F121" i="1"/>
  <c r="F117" i="1"/>
  <c r="F113" i="1"/>
  <c r="F100" i="1"/>
  <c r="F96" i="1"/>
  <c r="F92" i="1"/>
  <c r="F88" i="1"/>
  <c r="F84" i="1"/>
  <c r="B81" i="1"/>
  <c r="F77" i="1"/>
  <c r="B73" i="1"/>
  <c r="F71" i="1"/>
  <c r="B69" i="1"/>
  <c r="F67" i="1"/>
  <c r="B65" i="1"/>
  <c r="F63" i="1"/>
  <c r="B61" i="1"/>
  <c r="F59" i="1"/>
  <c r="B57" i="1"/>
  <c r="F55" i="1"/>
  <c r="B53" i="1"/>
  <c r="F51" i="1"/>
  <c r="B49" i="1"/>
  <c r="F47" i="1"/>
  <c r="B45" i="1"/>
  <c r="F43" i="1"/>
  <c r="B37" i="1"/>
  <c r="F35" i="1"/>
  <c r="B344" i="1"/>
  <c r="B307" i="1"/>
  <c r="B291" i="1"/>
  <c r="B279" i="1"/>
  <c r="B242" i="1"/>
  <c r="B238" i="1"/>
  <c r="B209" i="1"/>
  <c r="B205" i="1"/>
  <c r="B184" i="1"/>
  <c r="B172" i="1"/>
  <c r="B160" i="1"/>
  <c r="B131" i="1"/>
  <c r="B111" i="1"/>
  <c r="B98" i="1"/>
  <c r="B94" i="1"/>
  <c r="B82" i="1"/>
  <c r="F80" i="1"/>
  <c r="B79" i="1"/>
  <c r="F75" i="1"/>
  <c r="B74" i="1"/>
  <c r="B62" i="1"/>
  <c r="F60" i="1"/>
  <c r="B58" i="1"/>
  <c r="B38" i="1"/>
  <c r="F36" i="1"/>
  <c r="B1144" i="1"/>
  <c r="F965" i="1"/>
  <c r="B914" i="1"/>
  <c r="F896" i="1"/>
  <c r="B788" i="1"/>
  <c r="B742" i="1"/>
  <c r="B736" i="1"/>
  <c r="F730" i="1"/>
  <c r="F701" i="1"/>
  <c r="B690" i="1"/>
  <c r="B679" i="1"/>
  <c r="F669" i="1"/>
  <c r="F647" i="1"/>
  <c r="F615" i="1"/>
  <c r="F579" i="1"/>
  <c r="B573" i="1"/>
  <c r="B568" i="1"/>
  <c r="F534" i="1"/>
  <c r="B478" i="1"/>
  <c r="F473" i="1"/>
  <c r="B469" i="1"/>
  <c r="B462" i="1"/>
  <c r="B451" i="1"/>
  <c r="B446" i="1"/>
  <c r="B428" i="1"/>
  <c r="F416" i="1"/>
  <c r="B412" i="1"/>
  <c r="B405" i="1"/>
  <c r="F375" i="1"/>
  <c r="B369" i="1"/>
  <c r="F364" i="1"/>
  <c r="F319" i="1"/>
  <c r="F306" i="1"/>
  <c r="F302" i="1"/>
  <c r="F290" i="1"/>
  <c r="F278" i="1"/>
  <c r="F265" i="1"/>
  <c r="F249" i="1"/>
  <c r="F241" i="1"/>
  <c r="F237" i="1"/>
  <c r="F216" i="1"/>
  <c r="F212" i="1"/>
  <c r="F208" i="1"/>
  <c r="F200" i="1"/>
  <c r="F179" i="1"/>
  <c r="F167" i="1"/>
  <c r="F155" i="1"/>
  <c r="F142" i="1"/>
  <c r="F134" i="1"/>
  <c r="F118" i="1"/>
  <c r="F85" i="1"/>
  <c r="B77" i="1"/>
  <c r="B67" i="1"/>
  <c r="F1382" i="1"/>
  <c r="F1295" i="1"/>
  <c r="B1293" i="1"/>
  <c r="F1253" i="1"/>
  <c r="B1251" i="1"/>
  <c r="F963" i="1"/>
  <c r="B961" i="1"/>
  <c r="F942" i="1"/>
  <c r="F940" i="1"/>
  <c r="B912" i="1"/>
  <c r="B897" i="1"/>
  <c r="B895" i="1"/>
  <c r="F866" i="1"/>
  <c r="F837" i="1"/>
  <c r="B824" i="1"/>
  <c r="B809" i="1"/>
  <c r="F805" i="1"/>
  <c r="F803" i="1"/>
  <c r="B783" i="1"/>
  <c r="B777" i="1"/>
  <c r="F773" i="1"/>
  <c r="F771" i="1"/>
  <c r="F753" i="1"/>
  <c r="B731" i="1"/>
  <c r="F721" i="1"/>
  <c r="F699" i="1"/>
  <c r="B697" i="1"/>
  <c r="F667" i="1"/>
  <c r="B665" i="1"/>
  <c r="B646" i="1"/>
  <c r="F642" i="1"/>
  <c r="F636" i="1"/>
  <c r="B616" i="1"/>
  <c r="B614" i="1"/>
  <c r="F610" i="1"/>
  <c r="F604" i="1"/>
  <c r="F593" i="1"/>
  <c r="B591" i="1"/>
  <c r="B585" i="1"/>
  <c r="F582" i="1"/>
  <c r="F577" i="1"/>
  <c r="F575" i="1"/>
  <c r="B571" i="1"/>
  <c r="F566" i="1"/>
  <c r="F561" i="1"/>
  <c r="F559" i="1"/>
  <c r="B555" i="1"/>
  <c r="F550" i="1"/>
  <c r="B535" i="1"/>
  <c r="B524" i="1"/>
  <c r="B519" i="1"/>
  <c r="B508" i="1"/>
  <c r="B503" i="1"/>
  <c r="F476" i="1"/>
  <c r="F471" i="1"/>
  <c r="F460" i="1"/>
  <c r="F455" i="1"/>
  <c r="F444" i="1"/>
  <c r="F430" i="1"/>
  <c r="F419" i="1"/>
  <c r="F414" i="1"/>
  <c r="F403" i="1"/>
  <c r="F389" i="1"/>
  <c r="F378" i="1"/>
  <c r="F373" i="1"/>
  <c r="B365" i="1"/>
  <c r="B361" i="1"/>
  <c r="B348" i="1"/>
  <c r="B328" i="1"/>
  <c r="B295" i="1"/>
  <c r="B283" i="1"/>
  <c r="B225" i="1"/>
  <c r="B221" i="1"/>
  <c r="B217" i="1"/>
  <c r="B197" i="1"/>
  <c r="B180" i="1"/>
  <c r="B168" i="1"/>
  <c r="B156" i="1"/>
  <c r="B139" i="1"/>
  <c r="B127" i="1"/>
  <c r="B115" i="1"/>
  <c r="B90" i="1"/>
  <c r="F72" i="1"/>
  <c r="F68" i="1"/>
  <c r="B50" i="1"/>
  <c r="F48" i="1"/>
  <c r="B46" i="1"/>
  <c r="F44" i="1"/>
  <c r="B34" i="1"/>
  <c r="F23" i="1"/>
  <c r="B986" i="1"/>
  <c r="F968" i="1"/>
  <c r="F732" i="1"/>
  <c r="F672" i="1"/>
  <c r="B530" i="1"/>
  <c r="F518" i="1"/>
  <c r="B514" i="1"/>
  <c r="F504" i="1"/>
  <c r="F502" i="1"/>
  <c r="B498" i="1"/>
  <c r="B485" i="1"/>
  <c r="B483" i="1"/>
  <c r="B387" i="1"/>
  <c r="B385" i="1"/>
  <c r="B380" i="1"/>
  <c r="B371" i="1"/>
  <c r="F347" i="1"/>
  <c r="F331" i="1"/>
  <c r="F286" i="1"/>
  <c r="F282" i="1"/>
  <c r="F257" i="1"/>
  <c r="F253" i="1"/>
  <c r="F245" i="1"/>
  <c r="F196" i="1"/>
  <c r="F175" i="1"/>
  <c r="F163" i="1"/>
  <c r="F138" i="1"/>
  <c r="F130" i="1"/>
  <c r="F126" i="1"/>
  <c r="F122" i="1"/>
  <c r="F89" i="1"/>
  <c r="B71" i="1"/>
  <c r="F69" i="1"/>
  <c r="B59" i="1"/>
  <c r="B55" i="1"/>
  <c r="F41" i="1"/>
  <c r="B39" i="1"/>
  <c r="F53" i="1"/>
  <c r="B51" i="1"/>
  <c r="F45" i="1"/>
  <c r="B43" i="1"/>
  <c r="F37" i="1"/>
  <c r="B35" i="1"/>
  <c r="F57" i="1"/>
  <c r="F49" i="1"/>
  <c r="B47" i="1"/>
  <c r="F227" i="1" l="1"/>
  <c r="F24" i="1"/>
  <c r="F594" i="1"/>
  <c r="F648" i="1"/>
  <c r="F945" i="1"/>
  <c r="F186" i="1"/>
  <c r="F268" i="1"/>
  <c r="F309" i="1"/>
  <c r="F350" i="1"/>
  <c r="F540" i="1"/>
  <c r="F840" i="1"/>
  <c r="F391" i="1"/>
  <c r="F101" i="1"/>
  <c r="F1327" i="1"/>
  <c r="F825" i="1"/>
  <c r="F915" i="1"/>
  <c r="F930" i="1"/>
  <c r="F1263" i="1"/>
  <c r="F145" i="1"/>
  <c r="F989" i="1"/>
  <c r="F885" i="1"/>
  <c r="F900" i="1"/>
  <c r="F1007" i="1"/>
  <c r="F1079" i="1"/>
  <c r="F756" i="1"/>
  <c r="F810" i="1"/>
  <c r="F855" i="1"/>
  <c r="F870" i="1"/>
  <c r="F1299" i="1"/>
  <c r="F1404" i="1"/>
  <c r="F1426" i="1"/>
  <c r="F1448" i="1"/>
  <c r="F1471" i="1"/>
  <c r="F432" i="1"/>
  <c r="F486" i="1"/>
  <c r="F702" i="1"/>
  <c r="F1061" i="1"/>
  <c r="F1155" i="1"/>
  <c r="F1281" i="1"/>
  <c r="F1338" i="1"/>
  <c r="F1360" i="1"/>
  <c r="F1393" i="1"/>
  <c r="F1493" i="1"/>
  <c r="F1043" i="1"/>
  <c r="F1115" i="1"/>
  <c r="F1195" i="1"/>
  <c r="F1415" i="1"/>
  <c r="F1437" i="1"/>
  <c r="F1459" i="1"/>
  <c r="F1025" i="1"/>
  <c r="F1097" i="1"/>
  <c r="F1235" i="1"/>
  <c r="F1315" i="1"/>
  <c r="F1349" i="1"/>
  <c r="F1371" i="1"/>
  <c r="B9" i="1" l="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C1E6D86F-D2C7-48B4-A89D-14635D36ED1B}">
      <text>
        <r>
          <rPr>
            <b/>
            <sz val="9"/>
            <rFont val="Tahoma"/>
            <family val="2"/>
          </rPr>
          <t>Introduzca el año del PACC</t>
        </r>
      </text>
    </comment>
    <comment ref="E12" authorId="0" shapeId="0" xr:uid="{502B1A15-2901-4512-B12F-29FE6CFCCB1F}">
      <text>
        <r>
          <rPr>
            <b/>
            <sz val="9"/>
            <rFont val="Tahoma"/>
            <family val="2"/>
          </rPr>
          <t>Introduzca la fecha de aprobación, en formato dd/mm/aaaa</t>
        </r>
      </text>
    </comment>
    <comment ref="A16" authorId="1" shapeId="0" xr:uid="{9F6BB157-3988-495E-83C2-7DD6762A7A0F}">
      <text>
        <r>
          <rPr>
            <sz val="11"/>
            <color theme="1"/>
            <rFont val="Aptos Narrow"/>
            <family val="2"/>
            <scheme val="minor"/>
          </rPr>
          <t>Introducir un texto con el nombre o referencia de la contratación</t>
        </r>
      </text>
    </comment>
    <comment ref="B16" authorId="1" shapeId="0" xr:uid="{FF0BC8DE-3B3E-4AC1-9CBB-7C62E8670949}">
      <text>
        <r>
          <rPr>
            <sz val="11"/>
            <color theme="1"/>
            <rFont val="Aptos Narrow"/>
            <family val="2"/>
            <scheme val="minor"/>
          </rPr>
          <t>Introduzca un texto con la finalidad de la contratación</t>
        </r>
      </text>
    </comment>
    <comment ref="C16" authorId="1" shapeId="0" xr:uid="{A842F651-9D80-4243-AB07-CF7FFC78B9F1}">
      <text>
        <r>
          <rPr>
            <sz val="11"/>
            <color theme="1"/>
            <rFont val="Aptos Narrow"/>
            <family val="2"/>
            <scheme val="minor"/>
          </rPr>
          <t>Seleccionar un valor del listado</t>
        </r>
      </text>
    </comment>
    <comment ref="D16" authorId="1" shapeId="0" xr:uid="{8AEE9CE9-2C26-4D28-8FE5-AAF00180A705}">
      <text>
        <r>
          <rPr>
            <sz val="11"/>
            <color theme="1"/>
            <rFont val="Aptos Narrow"/>
            <family val="2"/>
            <scheme val="minor"/>
          </rPr>
          <t>Seleccione el tipo de procedimiento</t>
        </r>
      </text>
    </comment>
    <comment ref="E16" authorId="1" shapeId="0" xr:uid="{48AB6362-1898-46BC-9226-02A87F243FCF}">
      <text>
        <r>
          <rPr>
            <sz val="11"/>
            <color theme="1"/>
            <rFont val="Aptos Narrow"/>
            <family val="2"/>
            <scheme val="minor"/>
          </rPr>
          <t>Seleccione un valor de la lista</t>
        </r>
      </text>
    </comment>
    <comment ref="F16" authorId="1" shapeId="0" xr:uid="{19DA7F92-DA43-436D-A519-B253298B897F}">
      <text>
        <r>
          <rPr>
            <sz val="11"/>
            <color theme="1"/>
            <rFont val="Aptos Narrow"/>
            <family val="2"/>
            <scheme val="minor"/>
          </rPr>
          <t>Introduzca el código SNIP</t>
        </r>
      </text>
    </comment>
    <comment ref="C17" authorId="1" shapeId="0" xr:uid="{6DA9AA6B-C5AC-43E6-B41F-27FB9E9A70C6}">
      <text>
        <r>
          <rPr>
            <sz val="11"/>
            <color theme="1"/>
            <rFont val="Aptos Narrow"/>
            <family val="2"/>
            <scheme val="minor"/>
          </rPr>
          <t xml:space="preserve">Introduzca la fecha de inicio del proceso, en formato </t>
        </r>
      </text>
    </comment>
    <comment ref="F17" authorId="1" shapeId="0" xr:uid="{B44941D8-2FC0-4928-BF0D-802C16E62E6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 authorId="1" shapeId="0" xr:uid="{69B13A9D-56CD-406E-B9AE-F262317AE4BA}">
      <text/>
    </comment>
    <comment ref="C19" authorId="1" shapeId="0" xr:uid="{306D261D-DFDE-43E3-B16B-8547CD7E96CB}">
      <text>
        <r>
          <rPr>
            <sz val="11"/>
            <color theme="1"/>
            <rFont val="Aptos Narrow"/>
            <family val="2"/>
            <scheme val="minor"/>
          </rPr>
          <t>Introduzca la fecha prevista de adjudicación, en formato dd-mm-aaaa</t>
        </r>
      </text>
    </comment>
    <comment ref="F19" authorId="1" shapeId="0" xr:uid="{1BACB39B-C432-4F23-9FDD-1D7F379675B8}">
      <text/>
    </comment>
    <comment ref="F20" authorId="1" shapeId="0" xr:uid="{96818273-ED3F-46E2-B9E8-FCE18872CFD9}">
      <text/>
    </comment>
    <comment ref="A22" authorId="1" shapeId="0" xr:uid="{41F84591-D42B-4B3A-837D-23148D839899}">
      <text>
        <r>
          <rPr>
            <sz val="11"/>
            <color theme="1"/>
            <rFont val="Aptos Narrow"/>
            <family val="2"/>
            <scheme val="minor"/>
          </rPr>
          <t>Introduzca un codigo UNSPSC</t>
        </r>
      </text>
    </comment>
    <comment ref="B22" authorId="1" shapeId="0" xr:uid="{66324913-A694-4339-BFBA-1BDD87ECE6B8}">
      <text>
        <r>
          <rPr>
            <sz val="11"/>
            <color theme="1"/>
            <rFont val="Aptos Narrow"/>
            <family val="2"/>
            <scheme val="minor"/>
          </rPr>
          <t>Descripción calculada automáticamente a partir de código del artículo</t>
        </r>
      </text>
    </comment>
    <comment ref="C22" authorId="1" shapeId="0" xr:uid="{A7658E34-83C1-4BBC-AE09-13659EBB2464}">
      <text>
        <r>
          <rPr>
            <sz val="11"/>
            <color theme="1"/>
            <rFont val="Aptos Narrow"/>
            <family val="2"/>
            <scheme val="minor"/>
          </rPr>
          <t>Seleccione un valor de la lista</t>
        </r>
      </text>
    </comment>
    <comment ref="D22" authorId="1" shapeId="0" xr:uid="{408DFEE1-0203-449B-936D-2396B3E7FAFD}">
      <text>
        <r>
          <rPr>
            <sz val="11"/>
            <color theme="1"/>
            <rFont val="Aptos Narrow"/>
            <family val="2"/>
            <scheme val="minor"/>
          </rPr>
          <t>Introduzca un número con dos decimales como máximo. Debe ser igual o mayor a la "Cantidad Real Consumida"</t>
        </r>
      </text>
    </comment>
    <comment ref="E22" authorId="1" shapeId="0" xr:uid="{6CD0F172-E097-459A-8011-AC9829E37C67}">
      <text>
        <r>
          <rPr>
            <sz val="11"/>
            <color theme="1"/>
            <rFont val="Aptos Narrow"/>
            <family val="2"/>
            <scheme val="minor"/>
          </rPr>
          <t>Introduzca un número con dos decimales como máximo</t>
        </r>
      </text>
    </comment>
    <comment ref="F22" authorId="1" shapeId="0" xr:uid="{0A6E2729-E0E6-4DE6-8FD9-7D4AC755B490}">
      <text>
        <r>
          <rPr>
            <sz val="11"/>
            <color theme="1"/>
            <rFont val="Aptos Narrow"/>
            <family val="2"/>
            <scheme val="minor"/>
          </rPr>
          <t>Monto calculado automáticamente por el sistema</t>
        </r>
      </text>
    </comment>
    <comment ref="A27" authorId="1" shapeId="0" xr:uid="{90910C38-7A4A-457A-A5EC-9A3678B19ECB}">
      <text>
        <r>
          <rPr>
            <sz val="11"/>
            <color theme="1"/>
            <rFont val="Aptos Narrow"/>
            <family val="2"/>
            <scheme val="minor"/>
          </rPr>
          <t>Introducir un texto con el nombre o referencia de la contratación</t>
        </r>
      </text>
    </comment>
    <comment ref="B27" authorId="1" shapeId="0" xr:uid="{D1C825CD-2C03-47FE-A6DF-660956F57929}">
      <text>
        <r>
          <rPr>
            <sz val="11"/>
            <color theme="1"/>
            <rFont val="Aptos Narrow"/>
            <family val="2"/>
            <scheme val="minor"/>
          </rPr>
          <t>Introduzca un texto con la finalidad de la contratación</t>
        </r>
      </text>
    </comment>
    <comment ref="C27" authorId="1" shapeId="0" xr:uid="{92608FAF-AD37-4CAD-8D2B-D6D842D1B4D5}">
      <text>
        <r>
          <rPr>
            <sz val="11"/>
            <color theme="1"/>
            <rFont val="Aptos Narrow"/>
            <family val="2"/>
            <scheme val="minor"/>
          </rPr>
          <t>Seleccionar un valor del listado</t>
        </r>
      </text>
    </comment>
    <comment ref="D27" authorId="1" shapeId="0" xr:uid="{FA1F7273-A922-4F20-8787-685FF36354C2}">
      <text>
        <r>
          <rPr>
            <sz val="11"/>
            <color theme="1"/>
            <rFont val="Aptos Narrow"/>
            <family val="2"/>
            <scheme val="minor"/>
          </rPr>
          <t>Seleccione el tipo de procedimiento</t>
        </r>
      </text>
    </comment>
    <comment ref="E27" authorId="1" shapeId="0" xr:uid="{79A23084-448F-480A-A6C3-1934B074B3A4}">
      <text>
        <r>
          <rPr>
            <sz val="11"/>
            <color theme="1"/>
            <rFont val="Aptos Narrow"/>
            <family val="2"/>
            <scheme val="minor"/>
          </rPr>
          <t>Seleccione un valor de la lista</t>
        </r>
      </text>
    </comment>
    <comment ref="F27" authorId="1" shapeId="0" xr:uid="{17B5E7E6-A30C-40F6-A1CB-46C197CA99CE}">
      <text>
        <r>
          <rPr>
            <sz val="11"/>
            <color theme="1"/>
            <rFont val="Aptos Narrow"/>
            <family val="2"/>
            <scheme val="minor"/>
          </rPr>
          <t>Introduzca el código SNIP</t>
        </r>
      </text>
    </comment>
    <comment ref="C28" authorId="1" shapeId="0" xr:uid="{377D827F-9B46-4875-95FD-AEAFA9C0300E}">
      <text>
        <r>
          <rPr>
            <sz val="11"/>
            <color theme="1"/>
            <rFont val="Aptos Narrow"/>
            <family val="2"/>
            <scheme val="minor"/>
          </rPr>
          <t>Introduzca la fecha de inicio del proceso, en formato dd-mm-aaaa</t>
        </r>
      </text>
    </comment>
    <comment ref="F28" authorId="1" shapeId="0" xr:uid="{0AC70BDF-3E64-44AB-9F1B-2CF8E655CEE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 authorId="1" shapeId="0" xr:uid="{4533F3B4-E44B-4771-AFB3-0A75906D502B}">
      <text/>
    </comment>
    <comment ref="C30" authorId="1" shapeId="0" xr:uid="{5A5888D0-DC4B-414B-886E-A7531E686DCA}">
      <text>
        <r>
          <rPr>
            <sz val="11"/>
            <color theme="1"/>
            <rFont val="Aptos Narrow"/>
            <family val="2"/>
            <scheme val="minor"/>
          </rPr>
          <t>Introduzca la fecha prevista de adjudicación, en formato dd-mm-aaaa</t>
        </r>
      </text>
    </comment>
    <comment ref="F30" authorId="1" shapeId="0" xr:uid="{516FFA2B-9431-4DE4-98A2-AEF13E81DAAE}">
      <text/>
    </comment>
    <comment ref="F31" authorId="1" shapeId="0" xr:uid="{0BA8702F-DD84-40AC-A646-A2BACEEC4A3F}">
      <text/>
    </comment>
    <comment ref="A33" authorId="1" shapeId="0" xr:uid="{C767914B-DDD6-41E5-8E36-ECAFF338AB0F}">
      <text>
        <r>
          <rPr>
            <sz val="11"/>
            <color theme="1"/>
            <rFont val="Aptos Narrow"/>
            <family val="2"/>
            <scheme val="minor"/>
          </rPr>
          <t>Introduzca un codigo UNSPSC</t>
        </r>
      </text>
    </comment>
    <comment ref="B33" authorId="1" shapeId="0" xr:uid="{C0E2BE83-1090-46F8-A6EF-300CDF26744A}">
      <text>
        <r>
          <rPr>
            <sz val="11"/>
            <color theme="1"/>
            <rFont val="Aptos Narrow"/>
            <family val="2"/>
            <scheme val="minor"/>
          </rPr>
          <t>Descripción calculada automáticamente a partir de código del artículo</t>
        </r>
      </text>
    </comment>
    <comment ref="C33" authorId="1" shapeId="0" xr:uid="{4EF33919-AD21-4F02-90FA-E9264A1357B3}">
      <text>
        <r>
          <rPr>
            <sz val="11"/>
            <color theme="1"/>
            <rFont val="Aptos Narrow"/>
            <family val="2"/>
            <scheme val="minor"/>
          </rPr>
          <t>Seleccione un valor de la lista</t>
        </r>
      </text>
    </comment>
    <comment ref="D33" authorId="1" shapeId="0" xr:uid="{F564CF57-27F7-451A-9C34-81EE6D8D99B6}">
      <text>
        <r>
          <rPr>
            <sz val="11"/>
            <color theme="1"/>
            <rFont val="Aptos Narrow"/>
            <family val="2"/>
            <scheme val="minor"/>
          </rPr>
          <t>Introduzca un número con dos decimales como máximo. Debe ser igual o mayor a la "Cantidad Real Consumida"</t>
        </r>
      </text>
    </comment>
    <comment ref="E33" authorId="1" shapeId="0" xr:uid="{AD74B229-7BCC-45F2-8534-9B1AEA74E82E}">
      <text>
        <r>
          <rPr>
            <sz val="11"/>
            <color theme="1"/>
            <rFont val="Aptos Narrow"/>
            <family val="2"/>
            <scheme val="minor"/>
          </rPr>
          <t>Introduzca un número con dos decimales como máximo</t>
        </r>
      </text>
    </comment>
    <comment ref="F33" authorId="1" shapeId="0" xr:uid="{B1B32EFD-0EF7-46B0-B8BF-6E120459ABA2}">
      <text>
        <r>
          <rPr>
            <sz val="11"/>
            <color theme="1"/>
            <rFont val="Aptos Narrow"/>
            <family val="2"/>
            <scheme val="minor"/>
          </rPr>
          <t>Monto calculado automáticamente por el sistema</t>
        </r>
      </text>
    </comment>
    <comment ref="A104" authorId="1" shapeId="0" xr:uid="{CFFF5F13-4FF1-406F-91E3-FC66F168FC42}">
      <text>
        <r>
          <rPr>
            <sz val="11"/>
            <color theme="1"/>
            <rFont val="Aptos Narrow"/>
            <family val="2"/>
            <scheme val="minor"/>
          </rPr>
          <t>Introducir un texto con el nombre o referencia de la contratación</t>
        </r>
      </text>
    </comment>
    <comment ref="B104" authorId="1" shapeId="0" xr:uid="{3F1186D0-25F2-4276-8793-CF37EB559AC8}">
      <text>
        <r>
          <rPr>
            <sz val="11"/>
            <color theme="1"/>
            <rFont val="Aptos Narrow"/>
            <family val="2"/>
            <scheme val="minor"/>
          </rPr>
          <t>Introduzca un texto con la finalidad de la contratación</t>
        </r>
      </text>
    </comment>
    <comment ref="C104" authorId="1" shapeId="0" xr:uid="{C88C30D3-783F-4122-83D3-CD427D3EF964}">
      <text>
        <r>
          <rPr>
            <sz val="11"/>
            <color theme="1"/>
            <rFont val="Aptos Narrow"/>
            <family val="2"/>
            <scheme val="minor"/>
          </rPr>
          <t>Seleccionar un valor del listado</t>
        </r>
      </text>
    </comment>
    <comment ref="D104" authorId="1" shapeId="0" xr:uid="{BDE5BCE1-67E2-4305-BE69-26B929245554}">
      <text>
        <r>
          <rPr>
            <sz val="11"/>
            <color theme="1"/>
            <rFont val="Aptos Narrow"/>
            <family val="2"/>
            <scheme val="minor"/>
          </rPr>
          <t>Seleccione el tipo de procedimiento</t>
        </r>
      </text>
    </comment>
    <comment ref="E104" authorId="1" shapeId="0" xr:uid="{5C377DAD-213E-4E91-A6CD-1760AFC5A918}">
      <text>
        <r>
          <rPr>
            <sz val="11"/>
            <color theme="1"/>
            <rFont val="Aptos Narrow"/>
            <family val="2"/>
            <scheme val="minor"/>
          </rPr>
          <t>Seleccione un valor de la lista</t>
        </r>
      </text>
    </comment>
    <comment ref="F104" authorId="1" shapeId="0" xr:uid="{3A34B9D8-2210-4855-AD96-2D671ED12799}">
      <text>
        <r>
          <rPr>
            <sz val="11"/>
            <color theme="1"/>
            <rFont val="Aptos Narrow"/>
            <family val="2"/>
            <scheme val="minor"/>
          </rPr>
          <t>Introduzca el código SNIP</t>
        </r>
      </text>
    </comment>
    <comment ref="C105" authorId="1" shapeId="0" xr:uid="{B560F702-9504-45C5-A5A4-9AD8C361CCE8}">
      <text>
        <r>
          <rPr>
            <sz val="11"/>
            <color theme="1"/>
            <rFont val="Aptos Narrow"/>
            <family val="2"/>
            <scheme val="minor"/>
          </rPr>
          <t>Introduzca la fecha de inicio del proceso, en formato dd-mm-aaaa</t>
        </r>
      </text>
    </comment>
    <comment ref="F105" authorId="1" shapeId="0" xr:uid="{8A407AA0-566A-49C2-B61D-BCBFDED5772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6" authorId="1" shapeId="0" xr:uid="{720B4721-D678-4F6B-B454-119C106926E2}">
      <text/>
    </comment>
    <comment ref="C107" authorId="1" shapeId="0" xr:uid="{9CAD5C72-A08C-4FAB-BAF0-7C6F470FA7D3}">
      <text>
        <r>
          <rPr>
            <sz val="11"/>
            <color theme="1"/>
            <rFont val="Aptos Narrow"/>
            <family val="2"/>
            <scheme val="minor"/>
          </rPr>
          <t>Introduzca la fecha prevista de adjudicación, en formato dd-mm-aaaa</t>
        </r>
      </text>
    </comment>
    <comment ref="F107" authorId="1" shapeId="0" xr:uid="{3E09C93F-67A5-4C42-8FC4-088948447C0F}">
      <text/>
    </comment>
    <comment ref="F108" authorId="1" shapeId="0" xr:uid="{606F1D0A-B4B1-448B-8D6E-BADCC2E85CEA}">
      <text/>
    </comment>
    <comment ref="A110" authorId="1" shapeId="0" xr:uid="{EF86D71A-092E-4F75-AE7F-DA729F26A834}">
      <text>
        <r>
          <rPr>
            <sz val="11"/>
            <color theme="1"/>
            <rFont val="Aptos Narrow"/>
            <family val="2"/>
            <scheme val="minor"/>
          </rPr>
          <t>Introduzca un codigo UNSPSC</t>
        </r>
      </text>
    </comment>
    <comment ref="B110" authorId="1" shapeId="0" xr:uid="{80E8D86D-E89F-46DE-AA70-BCD21A09C764}">
      <text>
        <r>
          <rPr>
            <sz val="11"/>
            <color theme="1"/>
            <rFont val="Aptos Narrow"/>
            <family val="2"/>
            <scheme val="minor"/>
          </rPr>
          <t>Descripción calculada automáticamente a partir de código del artículo</t>
        </r>
      </text>
    </comment>
    <comment ref="C110" authorId="1" shapeId="0" xr:uid="{3C89FC88-B899-484E-B821-E887F65CE804}">
      <text>
        <r>
          <rPr>
            <sz val="11"/>
            <color theme="1"/>
            <rFont val="Aptos Narrow"/>
            <family val="2"/>
            <scheme val="minor"/>
          </rPr>
          <t>Seleccione un valor de la lista</t>
        </r>
      </text>
    </comment>
    <comment ref="D110" authorId="1" shapeId="0" xr:uid="{69AE03CB-CC19-4BCE-B36A-7C86255DC9A5}">
      <text>
        <r>
          <rPr>
            <sz val="11"/>
            <color theme="1"/>
            <rFont val="Aptos Narrow"/>
            <family val="2"/>
            <scheme val="minor"/>
          </rPr>
          <t>Introduzca un número con dos decimales como máximo. Debe ser igual o mayor a la "Cantidad Real Consumida"</t>
        </r>
      </text>
    </comment>
    <comment ref="E110" authorId="1" shapeId="0" xr:uid="{4AC925BC-42B9-459F-821F-48EBD3F118AA}">
      <text>
        <r>
          <rPr>
            <sz val="11"/>
            <color theme="1"/>
            <rFont val="Aptos Narrow"/>
            <family val="2"/>
            <scheme val="minor"/>
          </rPr>
          <t>Introduzca un número con dos decimales como máximo</t>
        </r>
      </text>
    </comment>
    <comment ref="F110" authorId="1" shapeId="0" xr:uid="{75CFDE41-1B05-4C9C-B360-DB44811BE758}">
      <text>
        <r>
          <rPr>
            <sz val="11"/>
            <color theme="1"/>
            <rFont val="Aptos Narrow"/>
            <family val="2"/>
            <scheme val="minor"/>
          </rPr>
          <t>Monto calculado automáticamente por el sistema</t>
        </r>
      </text>
    </comment>
    <comment ref="A148" authorId="1" shapeId="0" xr:uid="{DC45E14C-3108-44A8-9580-259BB283C6C4}">
      <text>
        <r>
          <rPr>
            <sz val="11"/>
            <color theme="1"/>
            <rFont val="Aptos Narrow"/>
            <family val="2"/>
            <scheme val="minor"/>
          </rPr>
          <t>Introducir un texto con el nombre o referencia de la contratación</t>
        </r>
      </text>
    </comment>
    <comment ref="B148" authorId="1" shapeId="0" xr:uid="{0B00D70A-2E4A-4D3B-82C4-FE2A26CE5253}">
      <text>
        <r>
          <rPr>
            <sz val="11"/>
            <color theme="1"/>
            <rFont val="Aptos Narrow"/>
            <family val="2"/>
            <scheme val="minor"/>
          </rPr>
          <t>Introduzca un texto con la finalidad de la contratación</t>
        </r>
      </text>
    </comment>
    <comment ref="C148" authorId="1" shapeId="0" xr:uid="{DAE1E328-B20C-44BF-937B-EE2EC8B84A40}">
      <text>
        <r>
          <rPr>
            <sz val="11"/>
            <color theme="1"/>
            <rFont val="Aptos Narrow"/>
            <family val="2"/>
            <scheme val="minor"/>
          </rPr>
          <t>Seleccionar un valor del listado</t>
        </r>
      </text>
    </comment>
    <comment ref="D148" authorId="1" shapeId="0" xr:uid="{18DAA36C-0484-45B8-BBA3-2B9D11C15209}">
      <text>
        <r>
          <rPr>
            <sz val="11"/>
            <color theme="1"/>
            <rFont val="Aptos Narrow"/>
            <family val="2"/>
            <scheme val="minor"/>
          </rPr>
          <t>Seleccione el tipo de procedimiento</t>
        </r>
      </text>
    </comment>
    <comment ref="E148" authorId="1" shapeId="0" xr:uid="{F9D88FD1-4BA3-43D1-88A5-F0AA5879831F}">
      <text>
        <r>
          <rPr>
            <sz val="11"/>
            <color theme="1"/>
            <rFont val="Aptos Narrow"/>
            <family val="2"/>
            <scheme val="minor"/>
          </rPr>
          <t>Seleccione un valor de la lista</t>
        </r>
      </text>
    </comment>
    <comment ref="F148" authorId="1" shapeId="0" xr:uid="{01E2A95F-A97E-4837-9A40-A89D41BC34FE}">
      <text>
        <r>
          <rPr>
            <sz val="11"/>
            <color theme="1"/>
            <rFont val="Aptos Narrow"/>
            <family val="2"/>
            <scheme val="minor"/>
          </rPr>
          <t>Introduzca el código SNIP</t>
        </r>
      </text>
    </comment>
    <comment ref="C149" authorId="1" shapeId="0" xr:uid="{75C7FC6D-D0F8-4FE5-8949-4FE0D7240BBE}">
      <text>
        <r>
          <rPr>
            <sz val="11"/>
            <color theme="1"/>
            <rFont val="Aptos Narrow"/>
            <family val="2"/>
            <scheme val="minor"/>
          </rPr>
          <t>Introduzca la fecha de inicio del proceso, en formato dd-mm-aaaa</t>
        </r>
      </text>
    </comment>
    <comment ref="F149" authorId="1" shapeId="0" xr:uid="{C5078B6A-8FDA-4299-94A5-BE8AA460048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0" authorId="1" shapeId="0" xr:uid="{AF800CF9-5942-45F6-8D5E-88AE13159506}">
      <text/>
    </comment>
    <comment ref="C151" authorId="1" shapeId="0" xr:uid="{C4E645D4-4C70-4C55-B3F6-FBD1A070831A}">
      <text>
        <r>
          <rPr>
            <sz val="11"/>
            <color theme="1"/>
            <rFont val="Aptos Narrow"/>
            <family val="2"/>
            <scheme val="minor"/>
          </rPr>
          <t>Introduzca la fecha prevista de adjudicación, en formato dd-mm-aaaa</t>
        </r>
      </text>
    </comment>
    <comment ref="F151" authorId="1" shapeId="0" xr:uid="{6BC75049-AB09-4539-997E-003F1D538330}">
      <text/>
    </comment>
    <comment ref="F152" authorId="1" shapeId="0" xr:uid="{43197E57-B060-4191-83CA-DD820BA67F74}">
      <text/>
    </comment>
    <comment ref="A154" authorId="1" shapeId="0" xr:uid="{F24E70D4-4734-4C7E-8D77-3D18E0545A36}">
      <text>
        <r>
          <rPr>
            <sz val="11"/>
            <color theme="1"/>
            <rFont val="Aptos Narrow"/>
            <family val="2"/>
            <scheme val="minor"/>
          </rPr>
          <t>Introduzca un codigo UNSPSC</t>
        </r>
      </text>
    </comment>
    <comment ref="B154" authorId="1" shapeId="0" xr:uid="{FFD36FF5-416A-4446-821D-905C4CB342CD}">
      <text>
        <r>
          <rPr>
            <sz val="11"/>
            <color theme="1"/>
            <rFont val="Aptos Narrow"/>
            <family val="2"/>
            <scheme val="minor"/>
          </rPr>
          <t>Descripción calculada automáticamente a partir de código del artículo</t>
        </r>
      </text>
    </comment>
    <comment ref="C154" authorId="1" shapeId="0" xr:uid="{0AF54DE2-06AD-4935-8FBC-04B3A3D31C30}">
      <text>
        <r>
          <rPr>
            <sz val="11"/>
            <color theme="1"/>
            <rFont val="Aptos Narrow"/>
            <family val="2"/>
            <scheme val="minor"/>
          </rPr>
          <t>Seleccione un valor de la lista</t>
        </r>
      </text>
    </comment>
    <comment ref="D154" authorId="1" shapeId="0" xr:uid="{90A5AAD9-0BC5-4E9D-8EFF-F9B2A0E99230}">
      <text>
        <r>
          <rPr>
            <sz val="11"/>
            <color theme="1"/>
            <rFont val="Aptos Narrow"/>
            <family val="2"/>
            <scheme val="minor"/>
          </rPr>
          <t>Introduzca un número con dos decimales como máximo. Debe ser igual o mayor a la "Cantidad Real Consumida"</t>
        </r>
      </text>
    </comment>
    <comment ref="E154" authorId="1" shapeId="0" xr:uid="{767A450B-B72E-4DF4-B489-BE68C97B2AA3}">
      <text>
        <r>
          <rPr>
            <sz val="11"/>
            <color theme="1"/>
            <rFont val="Aptos Narrow"/>
            <family val="2"/>
            <scheme val="minor"/>
          </rPr>
          <t>Introduzca un número con dos decimales como máximo</t>
        </r>
      </text>
    </comment>
    <comment ref="F154" authorId="1" shapeId="0" xr:uid="{B4A655F4-1068-4924-83B5-51A159529BD8}">
      <text>
        <r>
          <rPr>
            <sz val="11"/>
            <color theme="1"/>
            <rFont val="Aptos Narrow"/>
            <family val="2"/>
            <scheme val="minor"/>
          </rPr>
          <t>Monto calculado automáticamente por el sistema</t>
        </r>
      </text>
    </comment>
    <comment ref="A189" authorId="1" shapeId="0" xr:uid="{CB7B56B2-9907-4C09-8C39-F6F5A5DD8520}">
      <text>
        <r>
          <rPr>
            <sz val="11"/>
            <color theme="1"/>
            <rFont val="Aptos Narrow"/>
            <family val="2"/>
            <scheme val="minor"/>
          </rPr>
          <t>Introducir un texto con el nombre o referencia de la contratación</t>
        </r>
      </text>
    </comment>
    <comment ref="B189" authorId="1" shapeId="0" xr:uid="{46635056-33B0-47F1-9A71-0E320CC4C800}">
      <text>
        <r>
          <rPr>
            <sz val="11"/>
            <color theme="1"/>
            <rFont val="Aptos Narrow"/>
            <family val="2"/>
            <scheme val="minor"/>
          </rPr>
          <t>Introduzca un texto con la finalidad de la contratación</t>
        </r>
      </text>
    </comment>
    <comment ref="C189" authorId="1" shapeId="0" xr:uid="{D98E32FC-1BCC-4BC0-B20E-7AF3FA081BE8}">
      <text>
        <r>
          <rPr>
            <sz val="11"/>
            <color theme="1"/>
            <rFont val="Aptos Narrow"/>
            <family val="2"/>
            <scheme val="minor"/>
          </rPr>
          <t>Seleccionar un valor del listado</t>
        </r>
      </text>
    </comment>
    <comment ref="D189" authorId="1" shapeId="0" xr:uid="{AB3A1B23-62E3-46ED-A1A6-B25B85931161}">
      <text>
        <r>
          <rPr>
            <sz val="11"/>
            <color theme="1"/>
            <rFont val="Aptos Narrow"/>
            <family val="2"/>
            <scheme val="minor"/>
          </rPr>
          <t>Seleccione el tipo de procedimiento</t>
        </r>
      </text>
    </comment>
    <comment ref="E189" authorId="1" shapeId="0" xr:uid="{C408B87E-804F-4820-8733-F56D826F4280}">
      <text>
        <r>
          <rPr>
            <sz val="11"/>
            <color theme="1"/>
            <rFont val="Aptos Narrow"/>
            <family val="2"/>
            <scheme val="minor"/>
          </rPr>
          <t>Seleccione un valor de la lista</t>
        </r>
      </text>
    </comment>
    <comment ref="F189" authorId="1" shapeId="0" xr:uid="{1A48B00B-BAA9-46D0-8D5E-B2D9EE12B610}">
      <text>
        <r>
          <rPr>
            <sz val="11"/>
            <color theme="1"/>
            <rFont val="Aptos Narrow"/>
            <family val="2"/>
            <scheme val="minor"/>
          </rPr>
          <t>Introduzca el código SNIP</t>
        </r>
      </text>
    </comment>
    <comment ref="C190" authorId="1" shapeId="0" xr:uid="{90F29F79-F1D0-4CA8-BF25-9E503C2095B9}">
      <text>
        <r>
          <rPr>
            <sz val="11"/>
            <color theme="1"/>
            <rFont val="Aptos Narrow"/>
            <family val="2"/>
            <scheme val="minor"/>
          </rPr>
          <t>Introduzca la fecha de inicio del proceso, en formato dd-mm-aaaa</t>
        </r>
      </text>
    </comment>
    <comment ref="F190" authorId="1" shapeId="0" xr:uid="{167DC084-25A7-4C4B-9A98-4AC476323BB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1" authorId="1" shapeId="0" xr:uid="{F93BF305-D33C-4F31-B56F-C9EC21B63E7C}">
      <text/>
    </comment>
    <comment ref="C192" authorId="1" shapeId="0" xr:uid="{878D65A2-48A2-46AE-8B3A-C7ABC4ED507F}">
      <text>
        <r>
          <rPr>
            <sz val="11"/>
            <color theme="1"/>
            <rFont val="Aptos Narrow"/>
            <family val="2"/>
            <scheme val="minor"/>
          </rPr>
          <t>Introduzca la fecha prevista de adjudicación, en formato dd-mm-aaaa</t>
        </r>
      </text>
    </comment>
    <comment ref="F192" authorId="1" shapeId="0" xr:uid="{C636C37D-7360-4D3A-94D6-932B72E43DEE}">
      <text/>
    </comment>
    <comment ref="F193" authorId="1" shapeId="0" xr:uid="{F3C24329-D2AA-4B82-8EB6-3CAB3EDBCF4F}">
      <text/>
    </comment>
    <comment ref="A195" authorId="1" shapeId="0" xr:uid="{DADD8894-80CD-487A-A9F4-F95CF241BD7D}">
      <text>
        <r>
          <rPr>
            <sz val="11"/>
            <color theme="1"/>
            <rFont val="Aptos Narrow"/>
            <family val="2"/>
            <scheme val="minor"/>
          </rPr>
          <t>Introduzca un codigo UNSPSC</t>
        </r>
      </text>
    </comment>
    <comment ref="B195" authorId="1" shapeId="0" xr:uid="{295ECC5B-AC20-45E8-8783-244924EA03C7}">
      <text>
        <r>
          <rPr>
            <sz val="11"/>
            <color theme="1"/>
            <rFont val="Aptos Narrow"/>
            <family val="2"/>
            <scheme val="minor"/>
          </rPr>
          <t>Descripción calculada automáticamente a partir de código del artículo</t>
        </r>
      </text>
    </comment>
    <comment ref="C195" authorId="1" shapeId="0" xr:uid="{17454251-C15B-458A-9CEF-BCCEFFBE0D3E}">
      <text>
        <r>
          <rPr>
            <sz val="11"/>
            <color theme="1"/>
            <rFont val="Aptos Narrow"/>
            <family val="2"/>
            <scheme val="minor"/>
          </rPr>
          <t>Seleccione un valor de la lista</t>
        </r>
      </text>
    </comment>
    <comment ref="D195" authorId="1" shapeId="0" xr:uid="{5DB153E6-2DDC-4E95-A8D0-51F406E21370}">
      <text>
        <r>
          <rPr>
            <sz val="11"/>
            <color theme="1"/>
            <rFont val="Aptos Narrow"/>
            <family val="2"/>
            <scheme val="minor"/>
          </rPr>
          <t>Introduzca un número con dos decimales como máximo. Debe ser igual o mayor a la "Cantidad Real Consumida"</t>
        </r>
      </text>
    </comment>
    <comment ref="E195" authorId="1" shapeId="0" xr:uid="{5853BEE1-9E08-4B74-89A2-A30F0A442A76}">
      <text>
        <r>
          <rPr>
            <sz val="11"/>
            <color theme="1"/>
            <rFont val="Aptos Narrow"/>
            <family val="2"/>
            <scheme val="minor"/>
          </rPr>
          <t>Introduzca un número con dos decimales como máximo</t>
        </r>
      </text>
    </comment>
    <comment ref="F195" authorId="1" shapeId="0" xr:uid="{B8781AD4-D6F0-4EDE-A414-C7ECA90A5CA8}">
      <text>
        <r>
          <rPr>
            <sz val="11"/>
            <color theme="1"/>
            <rFont val="Aptos Narrow"/>
            <family val="2"/>
            <scheme val="minor"/>
          </rPr>
          <t>Monto calculado automáticamente por el sistema</t>
        </r>
      </text>
    </comment>
    <comment ref="A230" authorId="1" shapeId="0" xr:uid="{E8576EAF-A5B7-49DB-B00C-B40F05B88CF8}">
      <text>
        <r>
          <rPr>
            <sz val="11"/>
            <color theme="1"/>
            <rFont val="Aptos Narrow"/>
            <family val="2"/>
            <scheme val="minor"/>
          </rPr>
          <t>Introducir un texto con el nombre o referencia de la contratación</t>
        </r>
      </text>
    </comment>
    <comment ref="B230" authorId="1" shapeId="0" xr:uid="{1753B6D2-6C29-43A2-AAB9-BCAC9B59ACD0}">
      <text>
        <r>
          <rPr>
            <sz val="11"/>
            <color theme="1"/>
            <rFont val="Aptos Narrow"/>
            <family val="2"/>
            <scheme val="minor"/>
          </rPr>
          <t>Introduzca un texto con la finalidad de la contratación</t>
        </r>
      </text>
    </comment>
    <comment ref="C230" authorId="1" shapeId="0" xr:uid="{66569934-43DB-4EEE-AEB6-C7874BE39D92}">
      <text>
        <r>
          <rPr>
            <sz val="11"/>
            <color theme="1"/>
            <rFont val="Aptos Narrow"/>
            <family val="2"/>
            <scheme val="minor"/>
          </rPr>
          <t>Seleccionar un valor del listado</t>
        </r>
      </text>
    </comment>
    <comment ref="D230" authorId="1" shapeId="0" xr:uid="{41450C5B-02E3-4FB4-ABA3-927D243BF288}">
      <text>
        <r>
          <rPr>
            <sz val="11"/>
            <color theme="1"/>
            <rFont val="Aptos Narrow"/>
            <family val="2"/>
            <scheme val="minor"/>
          </rPr>
          <t>Seleccione el tipo de procedimiento</t>
        </r>
      </text>
    </comment>
    <comment ref="E230" authorId="1" shapeId="0" xr:uid="{2958DAB4-1C29-4BB9-8B4B-748C1D138F93}">
      <text>
        <r>
          <rPr>
            <sz val="11"/>
            <color theme="1"/>
            <rFont val="Aptos Narrow"/>
            <family val="2"/>
            <scheme val="minor"/>
          </rPr>
          <t>Seleccione un valor de la lista</t>
        </r>
      </text>
    </comment>
    <comment ref="F230" authorId="1" shapeId="0" xr:uid="{A0F83D48-DD72-4952-BBBD-05A19A2E13B7}">
      <text>
        <r>
          <rPr>
            <sz val="11"/>
            <color theme="1"/>
            <rFont val="Aptos Narrow"/>
            <family val="2"/>
            <scheme val="minor"/>
          </rPr>
          <t>Introduzca el código SNIP</t>
        </r>
      </text>
    </comment>
    <comment ref="C231" authorId="1" shapeId="0" xr:uid="{3287DCE6-57ED-4065-809C-1C7C70FEE86D}">
      <text>
        <r>
          <rPr>
            <sz val="11"/>
            <color theme="1"/>
            <rFont val="Aptos Narrow"/>
            <family val="2"/>
            <scheme val="minor"/>
          </rPr>
          <t>Introduzca la fecha de inicio del proceso, en formato dd-mm-aaaa</t>
        </r>
      </text>
    </comment>
    <comment ref="F231" authorId="1" shapeId="0" xr:uid="{9DAEA557-E356-4007-B04E-89F24ED6422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2" authorId="1" shapeId="0" xr:uid="{1DFE25A4-458B-47C2-825B-F7BC6D76B7C5}">
      <text/>
    </comment>
    <comment ref="C233" authorId="1" shapeId="0" xr:uid="{06A6BF4D-D19A-4F79-B9EC-D121C669CDFA}">
      <text>
        <r>
          <rPr>
            <sz val="11"/>
            <color theme="1"/>
            <rFont val="Aptos Narrow"/>
            <family val="2"/>
            <scheme val="minor"/>
          </rPr>
          <t>Introduzca la fecha prevista de adjudicación, en formato dd-mm-aaaa</t>
        </r>
      </text>
    </comment>
    <comment ref="F233" authorId="1" shapeId="0" xr:uid="{408A2500-03D4-4C9B-BF86-8AEB12351A45}">
      <text/>
    </comment>
    <comment ref="F234" authorId="1" shapeId="0" xr:uid="{31CDB4D8-973F-42AB-B047-836249594B6D}">
      <text/>
    </comment>
    <comment ref="A236" authorId="1" shapeId="0" xr:uid="{B43AAAE6-7EDF-4638-B23C-61E871DDF5E8}">
      <text>
        <r>
          <rPr>
            <sz val="11"/>
            <color theme="1"/>
            <rFont val="Aptos Narrow"/>
            <family val="2"/>
            <scheme val="minor"/>
          </rPr>
          <t>Introduzca un codigo UNSPSC</t>
        </r>
      </text>
    </comment>
    <comment ref="B236" authorId="1" shapeId="0" xr:uid="{155A19A3-27C5-4D23-8717-65BAD2554705}">
      <text>
        <r>
          <rPr>
            <sz val="11"/>
            <color theme="1"/>
            <rFont val="Aptos Narrow"/>
            <family val="2"/>
            <scheme val="minor"/>
          </rPr>
          <t>Descripción calculada automáticamente a partir de código del artículo</t>
        </r>
      </text>
    </comment>
    <comment ref="C236" authorId="1" shapeId="0" xr:uid="{55CABEC0-E483-49A5-A3C5-17EA4C6EFA11}">
      <text>
        <r>
          <rPr>
            <sz val="11"/>
            <color theme="1"/>
            <rFont val="Aptos Narrow"/>
            <family val="2"/>
            <scheme val="minor"/>
          </rPr>
          <t>Seleccione un valor de la lista</t>
        </r>
      </text>
    </comment>
    <comment ref="D236" authorId="1" shapeId="0" xr:uid="{F7D927D7-DCF3-4693-B5A5-29AD05A58EA6}">
      <text>
        <r>
          <rPr>
            <sz val="11"/>
            <color theme="1"/>
            <rFont val="Aptos Narrow"/>
            <family val="2"/>
            <scheme val="minor"/>
          </rPr>
          <t>Introduzca un número con dos decimales como máximo. Debe ser igual o mayor a la "Cantidad Real Consumida"</t>
        </r>
      </text>
    </comment>
    <comment ref="E236" authorId="1" shapeId="0" xr:uid="{19BAACA2-7813-4FA1-B276-60C42653CF93}">
      <text>
        <r>
          <rPr>
            <sz val="11"/>
            <color theme="1"/>
            <rFont val="Aptos Narrow"/>
            <family val="2"/>
            <scheme val="minor"/>
          </rPr>
          <t>Introduzca un número con dos decimales como máximo</t>
        </r>
      </text>
    </comment>
    <comment ref="F236" authorId="1" shapeId="0" xr:uid="{A38A5D8E-F14D-4287-B351-6646603D71CF}">
      <text>
        <r>
          <rPr>
            <sz val="11"/>
            <color theme="1"/>
            <rFont val="Aptos Narrow"/>
            <family val="2"/>
            <scheme val="minor"/>
          </rPr>
          <t>Monto calculado automáticamente por el sistema</t>
        </r>
      </text>
    </comment>
    <comment ref="A271" authorId="1" shapeId="0" xr:uid="{210FF46E-FBE5-43B6-A477-E17456B37AF1}">
      <text>
        <r>
          <rPr>
            <sz val="11"/>
            <color theme="1"/>
            <rFont val="Aptos Narrow"/>
            <family val="2"/>
            <scheme val="minor"/>
          </rPr>
          <t>Introducir un texto con el nombre o referencia de la contratación</t>
        </r>
      </text>
    </comment>
    <comment ref="B271" authorId="1" shapeId="0" xr:uid="{A95D53F2-BD59-4A1D-B74E-166C86D8B2FB}">
      <text>
        <r>
          <rPr>
            <sz val="11"/>
            <color theme="1"/>
            <rFont val="Aptos Narrow"/>
            <family val="2"/>
            <scheme val="minor"/>
          </rPr>
          <t>Introduzca un texto con la finalidad de la contratación</t>
        </r>
      </text>
    </comment>
    <comment ref="C271" authorId="1" shapeId="0" xr:uid="{400ED5A6-20EF-4BC6-B514-B2CE02B9C3FA}">
      <text>
        <r>
          <rPr>
            <sz val="11"/>
            <color theme="1"/>
            <rFont val="Aptos Narrow"/>
            <family val="2"/>
            <scheme val="minor"/>
          </rPr>
          <t>Seleccionar un valor del listado</t>
        </r>
      </text>
    </comment>
    <comment ref="D271" authorId="1" shapeId="0" xr:uid="{E5810CFF-FBAD-42B0-A01E-1367D141E705}">
      <text>
        <r>
          <rPr>
            <sz val="11"/>
            <color theme="1"/>
            <rFont val="Aptos Narrow"/>
            <family val="2"/>
            <scheme val="minor"/>
          </rPr>
          <t>Seleccione el tipo de procedimiento</t>
        </r>
      </text>
    </comment>
    <comment ref="E271" authorId="1" shapeId="0" xr:uid="{497FCB0D-1D6B-4E0B-AE03-4147838CDF4F}">
      <text>
        <r>
          <rPr>
            <sz val="11"/>
            <color theme="1"/>
            <rFont val="Aptos Narrow"/>
            <family val="2"/>
            <scheme val="minor"/>
          </rPr>
          <t>Seleccione un valor de la lista</t>
        </r>
      </text>
    </comment>
    <comment ref="F271" authorId="1" shapeId="0" xr:uid="{09B108FC-7F02-4043-BA2A-3D5CA7594A60}">
      <text>
        <r>
          <rPr>
            <sz val="11"/>
            <color theme="1"/>
            <rFont val="Aptos Narrow"/>
            <family val="2"/>
            <scheme val="minor"/>
          </rPr>
          <t>Introduzca el código SNIP</t>
        </r>
      </text>
    </comment>
    <comment ref="C272" authorId="1" shapeId="0" xr:uid="{8D9239FA-22D8-4E8B-81AD-6EAF969E8E8C}">
      <text>
        <r>
          <rPr>
            <sz val="11"/>
            <color theme="1"/>
            <rFont val="Aptos Narrow"/>
            <family val="2"/>
            <scheme val="minor"/>
          </rPr>
          <t>Introduzca la fecha de inicio del proceso, en formato dd-mm-aaaa</t>
        </r>
      </text>
    </comment>
    <comment ref="F272" authorId="1" shapeId="0" xr:uid="{B3B2156B-AD83-4594-8169-B6CBCBE479B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3" authorId="1" shapeId="0" xr:uid="{6CE9E380-9181-4089-BDD1-31E81A6A1F31}">
      <text/>
    </comment>
    <comment ref="C274" authorId="1" shapeId="0" xr:uid="{83ABD1BC-F6BA-41DF-A481-E7FEB73FB335}">
      <text>
        <r>
          <rPr>
            <sz val="11"/>
            <color theme="1"/>
            <rFont val="Aptos Narrow"/>
            <family val="2"/>
            <scheme val="minor"/>
          </rPr>
          <t>Introduzca la fecha prevista de adjudicación, en formato dd-mm-aaaa</t>
        </r>
      </text>
    </comment>
    <comment ref="F274" authorId="1" shapeId="0" xr:uid="{AA8C312C-D585-4744-87CA-5024D6387F40}">
      <text/>
    </comment>
    <comment ref="F275" authorId="1" shapeId="0" xr:uid="{F2C13EA8-220A-471C-9C5B-87152348BCD4}">
      <text/>
    </comment>
    <comment ref="A277" authorId="1" shapeId="0" xr:uid="{93FEF633-B6F7-4638-A3A0-74F8D77F772D}">
      <text>
        <r>
          <rPr>
            <sz val="11"/>
            <color theme="1"/>
            <rFont val="Aptos Narrow"/>
            <family val="2"/>
            <scheme val="minor"/>
          </rPr>
          <t>Introduzca un codigo UNSPSC</t>
        </r>
      </text>
    </comment>
    <comment ref="B277" authorId="1" shapeId="0" xr:uid="{51AB15BE-D858-4605-9C74-6F1DA64D55A2}">
      <text>
        <r>
          <rPr>
            <sz val="11"/>
            <color theme="1"/>
            <rFont val="Aptos Narrow"/>
            <family val="2"/>
            <scheme val="minor"/>
          </rPr>
          <t>Descripción calculada automáticamente a partir de código del artículo</t>
        </r>
      </text>
    </comment>
    <comment ref="C277" authorId="1" shapeId="0" xr:uid="{77B65C08-334B-471C-A76C-0ED15016B3D6}">
      <text>
        <r>
          <rPr>
            <sz val="11"/>
            <color theme="1"/>
            <rFont val="Aptos Narrow"/>
            <family val="2"/>
            <scheme val="minor"/>
          </rPr>
          <t>Seleccione un valor de la lista</t>
        </r>
      </text>
    </comment>
    <comment ref="D277" authorId="1" shapeId="0" xr:uid="{4FD190F2-0A7B-46E1-B4C5-7B68DC354306}">
      <text>
        <r>
          <rPr>
            <sz val="11"/>
            <color theme="1"/>
            <rFont val="Aptos Narrow"/>
            <family val="2"/>
            <scheme val="minor"/>
          </rPr>
          <t>Introduzca un número con dos decimales como máximo. Debe ser igual o mayor a la "Cantidad Real Consumida"</t>
        </r>
      </text>
    </comment>
    <comment ref="E277" authorId="1" shapeId="0" xr:uid="{D7FAC0ED-7885-4535-B19A-560F1ED8F63F}">
      <text>
        <r>
          <rPr>
            <sz val="11"/>
            <color theme="1"/>
            <rFont val="Aptos Narrow"/>
            <family val="2"/>
            <scheme val="minor"/>
          </rPr>
          <t>Introduzca un número con dos decimales como máximo</t>
        </r>
      </text>
    </comment>
    <comment ref="F277" authorId="1" shapeId="0" xr:uid="{AB8EC98E-23F9-4144-ADBE-C0543D07489D}">
      <text>
        <r>
          <rPr>
            <sz val="11"/>
            <color theme="1"/>
            <rFont val="Aptos Narrow"/>
            <family val="2"/>
            <scheme val="minor"/>
          </rPr>
          <t>Monto calculado automáticamente por el sistema</t>
        </r>
      </text>
    </comment>
    <comment ref="A312" authorId="1" shapeId="0" xr:uid="{14EF7666-AF4F-4E1C-A72A-8E254E799EA9}">
      <text>
        <r>
          <rPr>
            <sz val="11"/>
            <color theme="1"/>
            <rFont val="Aptos Narrow"/>
            <family val="2"/>
            <scheme val="minor"/>
          </rPr>
          <t>Introducir un texto con el nombre o referencia de la contratación</t>
        </r>
      </text>
    </comment>
    <comment ref="B312" authorId="1" shapeId="0" xr:uid="{8643944C-DB30-44C1-9E3B-18C4EEF0BE36}">
      <text>
        <r>
          <rPr>
            <sz val="11"/>
            <color theme="1"/>
            <rFont val="Aptos Narrow"/>
            <family val="2"/>
            <scheme val="minor"/>
          </rPr>
          <t>Introduzca un texto con la finalidad de la contratación</t>
        </r>
      </text>
    </comment>
    <comment ref="C312" authorId="1" shapeId="0" xr:uid="{27225848-F654-4E89-A19A-368A69774EF9}">
      <text>
        <r>
          <rPr>
            <sz val="11"/>
            <color theme="1"/>
            <rFont val="Aptos Narrow"/>
            <family val="2"/>
            <scheme val="minor"/>
          </rPr>
          <t>Seleccionar un valor del listado</t>
        </r>
      </text>
    </comment>
    <comment ref="D312" authorId="1" shapeId="0" xr:uid="{001E52D6-21EF-4BBB-B321-9E77A9FBCA33}">
      <text>
        <r>
          <rPr>
            <sz val="11"/>
            <color theme="1"/>
            <rFont val="Aptos Narrow"/>
            <family val="2"/>
            <scheme val="minor"/>
          </rPr>
          <t>Seleccione el tipo de procedimiento</t>
        </r>
      </text>
    </comment>
    <comment ref="E312" authorId="1" shapeId="0" xr:uid="{B68EE20B-820F-445D-8896-7E7C988C13D1}">
      <text>
        <r>
          <rPr>
            <sz val="11"/>
            <color theme="1"/>
            <rFont val="Aptos Narrow"/>
            <family val="2"/>
            <scheme val="minor"/>
          </rPr>
          <t>Seleccione un valor de la lista</t>
        </r>
      </text>
    </comment>
    <comment ref="F312" authorId="1" shapeId="0" xr:uid="{457FF2BE-08A2-4359-B81D-7ADEABC761A3}">
      <text>
        <r>
          <rPr>
            <sz val="11"/>
            <color theme="1"/>
            <rFont val="Aptos Narrow"/>
            <family val="2"/>
            <scheme val="minor"/>
          </rPr>
          <t>Introduzca el código SNIP</t>
        </r>
      </text>
    </comment>
    <comment ref="C313" authorId="1" shapeId="0" xr:uid="{6B93942B-D65D-4139-AC2D-42321E5CBA33}">
      <text>
        <r>
          <rPr>
            <sz val="11"/>
            <color theme="1"/>
            <rFont val="Aptos Narrow"/>
            <family val="2"/>
            <scheme val="minor"/>
          </rPr>
          <t>Introduzca la fecha de inicio del proceso, en formato dd-mm-aaaa</t>
        </r>
      </text>
    </comment>
    <comment ref="F313" authorId="1" shapeId="0" xr:uid="{C1FEFC38-8942-44F9-9149-C0966C6BAC2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4" authorId="1" shapeId="0" xr:uid="{CA827C98-0B52-42C3-8395-62FD7F162764}">
      <text/>
    </comment>
    <comment ref="C315" authorId="1" shapeId="0" xr:uid="{81C4AFD9-A476-4033-B00E-1BCFB8B14837}">
      <text>
        <r>
          <rPr>
            <sz val="11"/>
            <color theme="1"/>
            <rFont val="Aptos Narrow"/>
            <family val="2"/>
            <scheme val="minor"/>
          </rPr>
          <t>Introduzca la fecha prevista de adjudicación, en formato dd-mm-aaaa</t>
        </r>
      </text>
    </comment>
    <comment ref="F315" authorId="1" shapeId="0" xr:uid="{BAA6ACE0-6C94-4BBB-B4F3-15F49ABA4096}">
      <text/>
    </comment>
    <comment ref="F316" authorId="1" shapeId="0" xr:uid="{389C9E44-DF8D-41AF-B1F4-6AFF96E39631}">
      <text/>
    </comment>
    <comment ref="A318" authorId="1" shapeId="0" xr:uid="{3F7CC79A-2C2F-4ABD-8731-EC28C873CFD8}">
      <text>
        <r>
          <rPr>
            <sz val="11"/>
            <color theme="1"/>
            <rFont val="Aptos Narrow"/>
            <family val="2"/>
            <scheme val="minor"/>
          </rPr>
          <t>Introduzca un codigo UNSPSC</t>
        </r>
      </text>
    </comment>
    <comment ref="B318" authorId="1" shapeId="0" xr:uid="{E5759853-655B-4FED-96A8-F1252C34926A}">
      <text>
        <r>
          <rPr>
            <sz val="11"/>
            <color theme="1"/>
            <rFont val="Aptos Narrow"/>
            <family val="2"/>
            <scheme val="minor"/>
          </rPr>
          <t>Descripción calculada automáticamente a partir de código del artículo</t>
        </r>
      </text>
    </comment>
    <comment ref="C318" authorId="1" shapeId="0" xr:uid="{50F78A0F-2AAD-4588-8C69-AD98642A1D25}">
      <text>
        <r>
          <rPr>
            <sz val="11"/>
            <color theme="1"/>
            <rFont val="Aptos Narrow"/>
            <family val="2"/>
            <scheme val="minor"/>
          </rPr>
          <t>Seleccione un valor de la lista</t>
        </r>
      </text>
    </comment>
    <comment ref="D318" authorId="1" shapeId="0" xr:uid="{E19A8302-0281-43DD-9517-D726BC1858DF}">
      <text>
        <r>
          <rPr>
            <sz val="11"/>
            <color theme="1"/>
            <rFont val="Aptos Narrow"/>
            <family val="2"/>
            <scheme val="minor"/>
          </rPr>
          <t>Introduzca un número con dos decimales como máximo. Debe ser igual o mayor a la "Cantidad Real Consumida"</t>
        </r>
      </text>
    </comment>
    <comment ref="E318" authorId="1" shapeId="0" xr:uid="{117FA070-F786-46F8-9D0B-761F1EF00E1F}">
      <text>
        <r>
          <rPr>
            <sz val="11"/>
            <color theme="1"/>
            <rFont val="Aptos Narrow"/>
            <family val="2"/>
            <scheme val="minor"/>
          </rPr>
          <t>Introduzca un número con dos decimales como máximo</t>
        </r>
      </text>
    </comment>
    <comment ref="F318" authorId="1" shapeId="0" xr:uid="{679BED0C-9712-4575-B705-95C1A9EFA939}">
      <text>
        <r>
          <rPr>
            <sz val="11"/>
            <color theme="1"/>
            <rFont val="Aptos Narrow"/>
            <family val="2"/>
            <scheme val="minor"/>
          </rPr>
          <t>Monto calculado automáticamente por el sistema</t>
        </r>
      </text>
    </comment>
    <comment ref="A353" authorId="1" shapeId="0" xr:uid="{7F23D6AF-D45A-4D25-9D30-5226A065D896}">
      <text>
        <r>
          <rPr>
            <sz val="11"/>
            <color theme="1"/>
            <rFont val="Aptos Narrow"/>
            <family val="2"/>
            <scheme val="minor"/>
          </rPr>
          <t>Introducir un texto con el nombre o referencia de la contratación</t>
        </r>
      </text>
    </comment>
    <comment ref="B353" authorId="1" shapeId="0" xr:uid="{9B73752A-2B51-4F6F-B952-53D7D7D29AD4}">
      <text>
        <r>
          <rPr>
            <sz val="11"/>
            <color theme="1"/>
            <rFont val="Aptos Narrow"/>
            <family val="2"/>
            <scheme val="minor"/>
          </rPr>
          <t>Introduzca un texto con la finalidad de la contratación</t>
        </r>
      </text>
    </comment>
    <comment ref="C353" authorId="1" shapeId="0" xr:uid="{397F5408-6351-40EB-86E5-BB5DD4AD643B}">
      <text>
        <r>
          <rPr>
            <sz val="11"/>
            <color theme="1"/>
            <rFont val="Aptos Narrow"/>
            <family val="2"/>
            <scheme val="minor"/>
          </rPr>
          <t>Seleccionar un valor del listado</t>
        </r>
      </text>
    </comment>
    <comment ref="D353" authorId="1" shapeId="0" xr:uid="{97F80106-8C9D-40B1-886C-0CE66D3670B0}">
      <text>
        <r>
          <rPr>
            <sz val="11"/>
            <color theme="1"/>
            <rFont val="Aptos Narrow"/>
            <family val="2"/>
            <scheme val="minor"/>
          </rPr>
          <t>Seleccione el tipo de procedimiento</t>
        </r>
      </text>
    </comment>
    <comment ref="E353" authorId="1" shapeId="0" xr:uid="{0C47999D-CF5D-4D2F-85B8-DC306EE1F8F6}">
      <text>
        <r>
          <rPr>
            <sz val="11"/>
            <color theme="1"/>
            <rFont val="Aptos Narrow"/>
            <family val="2"/>
            <scheme val="minor"/>
          </rPr>
          <t>Seleccione un valor de la lista</t>
        </r>
      </text>
    </comment>
    <comment ref="F353" authorId="1" shapeId="0" xr:uid="{5602175D-CA19-4822-AC8E-70BBC5D5BC4F}">
      <text>
        <r>
          <rPr>
            <sz val="11"/>
            <color theme="1"/>
            <rFont val="Aptos Narrow"/>
            <family val="2"/>
            <scheme val="minor"/>
          </rPr>
          <t>Introduzca el código SNIP</t>
        </r>
      </text>
    </comment>
    <comment ref="C354" authorId="1" shapeId="0" xr:uid="{8A934F28-F7CD-484D-B802-0BBD87042692}">
      <text>
        <r>
          <rPr>
            <sz val="11"/>
            <color theme="1"/>
            <rFont val="Aptos Narrow"/>
            <family val="2"/>
            <scheme val="minor"/>
          </rPr>
          <t>Introduzca la fecha de inicio del proceso, en formato dd-mm-aaaa</t>
        </r>
      </text>
    </comment>
    <comment ref="F354" authorId="1" shapeId="0" xr:uid="{80C8B8CC-C4A3-455C-AA88-002AF7E494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5" authorId="1" shapeId="0" xr:uid="{C7EB377D-62B0-4F5D-B7CE-7EEC4593723C}">
      <text/>
    </comment>
    <comment ref="C356" authorId="1" shapeId="0" xr:uid="{862CDD78-81A9-4583-9F8D-812CA51FE925}">
      <text>
        <r>
          <rPr>
            <sz val="11"/>
            <color theme="1"/>
            <rFont val="Aptos Narrow"/>
            <family val="2"/>
            <scheme val="minor"/>
          </rPr>
          <t>Introduzca la fecha prevista de adjudicación, en formato dd-mm-aaaa</t>
        </r>
      </text>
    </comment>
    <comment ref="F356" authorId="1" shapeId="0" xr:uid="{EE2D4F3D-E880-4B97-A5C6-059DBBC020AC}">
      <text/>
    </comment>
    <comment ref="F357" authorId="1" shapeId="0" xr:uid="{4061A2FA-3CE7-4F0C-9301-386E3E06AE9C}">
      <text/>
    </comment>
    <comment ref="A359" authorId="1" shapeId="0" xr:uid="{C0AAEC39-16BF-4652-86F1-82B7FBA0A74E}">
      <text>
        <r>
          <rPr>
            <sz val="11"/>
            <color theme="1"/>
            <rFont val="Aptos Narrow"/>
            <family val="2"/>
            <scheme val="minor"/>
          </rPr>
          <t>Introduzca un codigo UNSPSC</t>
        </r>
      </text>
    </comment>
    <comment ref="B359" authorId="1" shapeId="0" xr:uid="{8F1F2389-0770-436E-88A2-667FFE89F90E}">
      <text>
        <r>
          <rPr>
            <sz val="11"/>
            <color theme="1"/>
            <rFont val="Aptos Narrow"/>
            <family val="2"/>
            <scheme val="minor"/>
          </rPr>
          <t>Descripción calculada automáticamente a partir de código del artículo</t>
        </r>
      </text>
    </comment>
    <comment ref="C359" authorId="1" shapeId="0" xr:uid="{F3B79AE9-79DB-4F19-B1EA-01860BC5E7E1}">
      <text>
        <r>
          <rPr>
            <sz val="11"/>
            <color theme="1"/>
            <rFont val="Aptos Narrow"/>
            <family val="2"/>
            <scheme val="minor"/>
          </rPr>
          <t>Seleccione un valor de la lista</t>
        </r>
      </text>
    </comment>
    <comment ref="D359" authorId="1" shapeId="0" xr:uid="{0679BB75-CB8C-4E50-B47E-AAF0A055FD59}">
      <text>
        <r>
          <rPr>
            <sz val="11"/>
            <color theme="1"/>
            <rFont val="Aptos Narrow"/>
            <family val="2"/>
            <scheme val="minor"/>
          </rPr>
          <t>Introduzca un número con dos decimales como máximo. Debe ser igual o mayor a la "Cantidad Real Consumida"</t>
        </r>
      </text>
    </comment>
    <comment ref="E359" authorId="1" shapeId="0" xr:uid="{C5B4BFA9-352B-43C7-932A-861AE0ACD212}">
      <text>
        <r>
          <rPr>
            <sz val="11"/>
            <color theme="1"/>
            <rFont val="Aptos Narrow"/>
            <family val="2"/>
            <scheme val="minor"/>
          </rPr>
          <t>Introduzca un número con dos decimales como máximo</t>
        </r>
      </text>
    </comment>
    <comment ref="F359" authorId="1" shapeId="0" xr:uid="{F040C308-9E1A-4E50-B372-C6CCDEE1289C}">
      <text>
        <r>
          <rPr>
            <sz val="11"/>
            <color theme="1"/>
            <rFont val="Aptos Narrow"/>
            <family val="2"/>
            <scheme val="minor"/>
          </rPr>
          <t>Monto calculado automáticamente por el sistema</t>
        </r>
      </text>
    </comment>
    <comment ref="A394" authorId="1" shapeId="0" xr:uid="{E46219A9-CB79-4EC4-8A85-E4C78B425B38}">
      <text>
        <r>
          <rPr>
            <sz val="11"/>
            <color theme="1"/>
            <rFont val="Aptos Narrow"/>
            <family val="2"/>
            <scheme val="minor"/>
          </rPr>
          <t>Introducir un texto con el nombre o referencia de la contratación</t>
        </r>
      </text>
    </comment>
    <comment ref="B394" authorId="1" shapeId="0" xr:uid="{85A67EF6-1AA7-447C-87AF-FF94955D2B76}">
      <text>
        <r>
          <rPr>
            <sz val="11"/>
            <color theme="1"/>
            <rFont val="Aptos Narrow"/>
            <family val="2"/>
            <scheme val="minor"/>
          </rPr>
          <t>Introduzca un texto con la finalidad de la contratación</t>
        </r>
      </text>
    </comment>
    <comment ref="C394" authorId="1" shapeId="0" xr:uid="{E033E54D-CE32-4297-BD51-A6A5B0C4EC27}">
      <text>
        <r>
          <rPr>
            <sz val="11"/>
            <color theme="1"/>
            <rFont val="Aptos Narrow"/>
            <family val="2"/>
            <scheme val="minor"/>
          </rPr>
          <t>Seleccionar un valor del listado</t>
        </r>
      </text>
    </comment>
    <comment ref="D394" authorId="1" shapeId="0" xr:uid="{1DF10D00-98B3-41FD-A18B-F012A9C4BC06}">
      <text>
        <r>
          <rPr>
            <sz val="11"/>
            <color theme="1"/>
            <rFont val="Aptos Narrow"/>
            <family val="2"/>
            <scheme val="minor"/>
          </rPr>
          <t>Seleccione el tipo de procedimiento</t>
        </r>
      </text>
    </comment>
    <comment ref="E394" authorId="1" shapeId="0" xr:uid="{D35851B8-8C8F-4D69-BC19-C75A43303B15}">
      <text>
        <r>
          <rPr>
            <sz val="11"/>
            <color theme="1"/>
            <rFont val="Aptos Narrow"/>
            <family val="2"/>
            <scheme val="minor"/>
          </rPr>
          <t>Seleccione un valor de la lista</t>
        </r>
      </text>
    </comment>
    <comment ref="F394" authorId="1" shapeId="0" xr:uid="{FFD9C87C-8EB2-4559-A985-559CAB842848}">
      <text>
        <r>
          <rPr>
            <sz val="11"/>
            <color theme="1"/>
            <rFont val="Aptos Narrow"/>
            <family val="2"/>
            <scheme val="minor"/>
          </rPr>
          <t>Introduzca el código SNIP</t>
        </r>
      </text>
    </comment>
    <comment ref="C395" authorId="1" shapeId="0" xr:uid="{EE0700B3-77BD-4DFE-8ABC-2FC682C1EC50}">
      <text>
        <r>
          <rPr>
            <sz val="11"/>
            <color theme="1"/>
            <rFont val="Aptos Narrow"/>
            <family val="2"/>
            <scheme val="minor"/>
          </rPr>
          <t>Introduzca la fecha de inicio del proceso, en formato dd-mm-aaaa</t>
        </r>
      </text>
    </comment>
    <comment ref="F395" authorId="1" shapeId="0" xr:uid="{DEEB6997-E927-4408-B9C9-6721F9AE52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6" authorId="1" shapeId="0" xr:uid="{3B12B005-59F9-4C50-9993-5EDB38E314D2}">
      <text/>
    </comment>
    <comment ref="C397" authorId="1" shapeId="0" xr:uid="{EA9323F5-4F66-4FC8-89A8-65AEFC029EE1}">
      <text>
        <r>
          <rPr>
            <sz val="11"/>
            <color theme="1"/>
            <rFont val="Aptos Narrow"/>
            <family val="2"/>
            <scheme val="minor"/>
          </rPr>
          <t>Introduzca la fecha prevista de adjudicación, en formato dd-mm-aaaa</t>
        </r>
      </text>
    </comment>
    <comment ref="F397" authorId="1" shapeId="0" xr:uid="{5255149F-74A0-4957-8FE5-3F0478D16325}">
      <text/>
    </comment>
    <comment ref="F398" authorId="1" shapeId="0" xr:uid="{C16051A8-9B1C-4476-9D35-27C63B4FE657}">
      <text/>
    </comment>
    <comment ref="A400" authorId="1" shapeId="0" xr:uid="{0CB7DD47-FC0F-4015-9E0E-D653547171F6}">
      <text>
        <r>
          <rPr>
            <sz val="11"/>
            <color theme="1"/>
            <rFont val="Aptos Narrow"/>
            <family val="2"/>
            <scheme val="minor"/>
          </rPr>
          <t>Introduzca un codigo UNSPSC</t>
        </r>
      </text>
    </comment>
    <comment ref="B400" authorId="1" shapeId="0" xr:uid="{EBBD9B31-FC2E-417A-9EF9-5FABEBEDBB7C}">
      <text>
        <r>
          <rPr>
            <sz val="11"/>
            <color theme="1"/>
            <rFont val="Aptos Narrow"/>
            <family val="2"/>
            <scheme val="minor"/>
          </rPr>
          <t>Descripción calculada automáticamente a partir de código del artículo</t>
        </r>
      </text>
    </comment>
    <comment ref="C400" authorId="1" shapeId="0" xr:uid="{222F2694-670C-4EF3-B845-D7BEE9123775}">
      <text>
        <r>
          <rPr>
            <sz val="11"/>
            <color theme="1"/>
            <rFont val="Aptos Narrow"/>
            <family val="2"/>
            <scheme val="minor"/>
          </rPr>
          <t>Seleccione un valor de la lista</t>
        </r>
      </text>
    </comment>
    <comment ref="D400" authorId="1" shapeId="0" xr:uid="{BE713722-1942-4E19-88F9-A8904D13F911}">
      <text>
        <r>
          <rPr>
            <sz val="11"/>
            <color theme="1"/>
            <rFont val="Aptos Narrow"/>
            <family val="2"/>
            <scheme val="minor"/>
          </rPr>
          <t>Introduzca un número con dos decimales como máximo. Debe ser igual o mayor a la "Cantidad Real Consumida"</t>
        </r>
      </text>
    </comment>
    <comment ref="E400" authorId="1" shapeId="0" xr:uid="{6C324E26-A0F8-4709-8457-78609F61DD78}">
      <text>
        <r>
          <rPr>
            <sz val="11"/>
            <color theme="1"/>
            <rFont val="Aptos Narrow"/>
            <family val="2"/>
            <scheme val="minor"/>
          </rPr>
          <t>Introduzca un número con dos decimales como máximo</t>
        </r>
      </text>
    </comment>
    <comment ref="F400" authorId="1" shapeId="0" xr:uid="{67DB2219-5F50-4EBD-A6F8-1525503B8AD4}">
      <text>
        <r>
          <rPr>
            <sz val="11"/>
            <color theme="1"/>
            <rFont val="Aptos Narrow"/>
            <family val="2"/>
            <scheme val="minor"/>
          </rPr>
          <t>Monto calculado automáticamente por el sistema</t>
        </r>
      </text>
    </comment>
    <comment ref="A435" authorId="1" shapeId="0" xr:uid="{9A19C12D-187F-4EEC-9BC0-0F7758E63D80}">
      <text>
        <r>
          <rPr>
            <sz val="11"/>
            <color theme="1"/>
            <rFont val="Aptos Narrow"/>
            <family val="2"/>
            <scheme val="minor"/>
          </rPr>
          <t>Introducir un texto con el nombre o referencia de la contratación</t>
        </r>
      </text>
    </comment>
    <comment ref="B435" authorId="1" shapeId="0" xr:uid="{063139AF-3BFA-4F75-BFAF-B9733EF5DBF5}">
      <text>
        <r>
          <rPr>
            <sz val="11"/>
            <color theme="1"/>
            <rFont val="Aptos Narrow"/>
            <family val="2"/>
            <scheme val="minor"/>
          </rPr>
          <t>Introduzca un texto con la finalidad de la contratación</t>
        </r>
      </text>
    </comment>
    <comment ref="C435" authorId="1" shapeId="0" xr:uid="{93638B87-FF8A-49DF-A09C-ADA4DDADD0EC}">
      <text>
        <r>
          <rPr>
            <sz val="11"/>
            <color theme="1"/>
            <rFont val="Aptos Narrow"/>
            <family val="2"/>
            <scheme val="minor"/>
          </rPr>
          <t>Seleccionar un valor del listado</t>
        </r>
      </text>
    </comment>
    <comment ref="D435" authorId="1" shapeId="0" xr:uid="{6F5A3ACE-D7E9-49DD-B0A9-A353267876A7}">
      <text>
        <r>
          <rPr>
            <sz val="11"/>
            <color theme="1"/>
            <rFont val="Aptos Narrow"/>
            <family val="2"/>
            <scheme val="minor"/>
          </rPr>
          <t>Seleccione el tipo de procedimiento</t>
        </r>
      </text>
    </comment>
    <comment ref="E435" authorId="1" shapeId="0" xr:uid="{252A2805-6CD3-4330-8804-BD7F5131D36E}">
      <text>
        <r>
          <rPr>
            <sz val="11"/>
            <color theme="1"/>
            <rFont val="Aptos Narrow"/>
            <family val="2"/>
            <scheme val="minor"/>
          </rPr>
          <t>Seleccione un valor de la lista</t>
        </r>
      </text>
    </comment>
    <comment ref="F435" authorId="1" shapeId="0" xr:uid="{09ED8016-C7CB-415A-AD2C-6AAA2ED33112}">
      <text>
        <r>
          <rPr>
            <sz val="11"/>
            <color theme="1"/>
            <rFont val="Aptos Narrow"/>
            <family val="2"/>
            <scheme val="minor"/>
          </rPr>
          <t>Introduzca el código SNIP</t>
        </r>
      </text>
    </comment>
    <comment ref="C436" authorId="1" shapeId="0" xr:uid="{0CC55F7C-D7FB-4324-B3E6-DE70EE0DA809}">
      <text>
        <r>
          <rPr>
            <sz val="11"/>
            <color theme="1"/>
            <rFont val="Aptos Narrow"/>
            <family val="2"/>
            <scheme val="minor"/>
          </rPr>
          <t>Introduzca la fecha de inicio del proceso, en formato dd-mm-aaaa</t>
        </r>
      </text>
    </comment>
    <comment ref="F436" authorId="1" shapeId="0" xr:uid="{F05897C7-0D76-4F6C-8039-A4CD549C9C4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7" authorId="1" shapeId="0" xr:uid="{409EB849-6A80-4452-B97E-1F50D545DF75}">
      <text/>
    </comment>
    <comment ref="C438" authorId="1" shapeId="0" xr:uid="{9A127916-A35C-4BF4-8EAE-6E5D2D65CF34}">
      <text>
        <r>
          <rPr>
            <sz val="11"/>
            <color theme="1"/>
            <rFont val="Aptos Narrow"/>
            <family val="2"/>
            <scheme val="minor"/>
          </rPr>
          <t>Introduzca la fecha prevista de adjudicación, en formato dd-mm-aaaa</t>
        </r>
      </text>
    </comment>
    <comment ref="F438" authorId="1" shapeId="0" xr:uid="{1FE664E3-C7EE-4218-99DF-47FA0D362773}">
      <text/>
    </comment>
    <comment ref="F439" authorId="1" shapeId="0" xr:uid="{3795744C-EB53-48D2-A699-CABC99E21F37}">
      <text/>
    </comment>
    <comment ref="A441" authorId="1" shapeId="0" xr:uid="{310B914D-37D4-4ABD-A098-B7780B3C48D8}">
      <text>
        <r>
          <rPr>
            <sz val="11"/>
            <color theme="1"/>
            <rFont val="Aptos Narrow"/>
            <family val="2"/>
            <scheme val="minor"/>
          </rPr>
          <t>Introduzca un codigo UNSPSC</t>
        </r>
      </text>
    </comment>
    <comment ref="B441" authorId="1" shapeId="0" xr:uid="{2DCA7E1A-3008-4E31-8D65-17551E576CED}">
      <text>
        <r>
          <rPr>
            <sz val="11"/>
            <color theme="1"/>
            <rFont val="Aptos Narrow"/>
            <family val="2"/>
            <scheme val="minor"/>
          </rPr>
          <t>Descripción calculada automáticamente a partir de código del artículo</t>
        </r>
      </text>
    </comment>
    <comment ref="C441" authorId="1" shapeId="0" xr:uid="{9C275B4E-D0B4-4EFA-B95E-C66391ADBD96}">
      <text>
        <r>
          <rPr>
            <sz val="11"/>
            <color theme="1"/>
            <rFont val="Aptos Narrow"/>
            <family val="2"/>
            <scheme val="minor"/>
          </rPr>
          <t>Seleccione un valor de la lista</t>
        </r>
      </text>
    </comment>
    <comment ref="D441" authorId="1" shapeId="0" xr:uid="{3D11A2CD-83DD-4239-853C-C4646971DA63}">
      <text>
        <r>
          <rPr>
            <sz val="11"/>
            <color theme="1"/>
            <rFont val="Aptos Narrow"/>
            <family val="2"/>
            <scheme val="minor"/>
          </rPr>
          <t>Introduzca un número con dos decimales como máximo. Debe ser igual o mayor a la "Cantidad Real Consumida"</t>
        </r>
      </text>
    </comment>
    <comment ref="E441" authorId="1" shapeId="0" xr:uid="{6277A738-FC19-4FF4-84E1-C82D60830BE1}">
      <text>
        <r>
          <rPr>
            <sz val="11"/>
            <color theme="1"/>
            <rFont val="Aptos Narrow"/>
            <family val="2"/>
            <scheme val="minor"/>
          </rPr>
          <t>Introduzca un número con dos decimales como máximo</t>
        </r>
      </text>
    </comment>
    <comment ref="F441" authorId="1" shapeId="0" xr:uid="{0A1CCDF7-4799-4B27-8A86-B9E47FBA2C6D}">
      <text>
        <r>
          <rPr>
            <sz val="11"/>
            <color theme="1"/>
            <rFont val="Aptos Narrow"/>
            <family val="2"/>
            <scheme val="minor"/>
          </rPr>
          <t>Monto calculado automáticamente por el sistema</t>
        </r>
      </text>
    </comment>
    <comment ref="A489" authorId="1" shapeId="0" xr:uid="{59CDBF0E-AFD2-433C-AED4-D1BC27F17B0B}">
      <text>
        <r>
          <rPr>
            <sz val="11"/>
            <color theme="1"/>
            <rFont val="Aptos Narrow"/>
            <family val="2"/>
            <scheme val="minor"/>
          </rPr>
          <t>Introducir un texto con el nombre o referencia de la contratación</t>
        </r>
      </text>
    </comment>
    <comment ref="B489" authorId="1" shapeId="0" xr:uid="{845E18DF-D6AC-4469-B962-37AF1B275C1C}">
      <text>
        <r>
          <rPr>
            <sz val="11"/>
            <color theme="1"/>
            <rFont val="Aptos Narrow"/>
            <family val="2"/>
            <scheme val="minor"/>
          </rPr>
          <t>Introduzca un texto con la finalidad de la contratación</t>
        </r>
      </text>
    </comment>
    <comment ref="C489" authorId="1" shapeId="0" xr:uid="{F27B3A76-4861-44A5-B23A-B24377B9135B}">
      <text>
        <r>
          <rPr>
            <sz val="11"/>
            <color theme="1"/>
            <rFont val="Aptos Narrow"/>
            <family val="2"/>
            <scheme val="minor"/>
          </rPr>
          <t>Seleccionar un valor del listado</t>
        </r>
      </text>
    </comment>
    <comment ref="D489" authorId="1" shapeId="0" xr:uid="{C3AD4925-BDF9-4FF0-96A2-5521446858F9}">
      <text>
        <r>
          <rPr>
            <sz val="11"/>
            <color theme="1"/>
            <rFont val="Aptos Narrow"/>
            <family val="2"/>
            <scheme val="minor"/>
          </rPr>
          <t>Seleccione el tipo de procedimiento</t>
        </r>
      </text>
    </comment>
    <comment ref="E489" authorId="1" shapeId="0" xr:uid="{5FE4A00C-2F23-45B3-B45C-56C5FE50B091}">
      <text>
        <r>
          <rPr>
            <sz val="11"/>
            <color theme="1"/>
            <rFont val="Aptos Narrow"/>
            <family val="2"/>
            <scheme val="minor"/>
          </rPr>
          <t>Seleccione un valor de la lista</t>
        </r>
      </text>
    </comment>
    <comment ref="F489" authorId="1" shapeId="0" xr:uid="{1A36FCA7-4784-4BD0-84BA-F6C1D8B8EAB5}">
      <text>
        <r>
          <rPr>
            <sz val="11"/>
            <color theme="1"/>
            <rFont val="Aptos Narrow"/>
            <family val="2"/>
            <scheme val="minor"/>
          </rPr>
          <t>Introduzca el código SNIP</t>
        </r>
      </text>
    </comment>
    <comment ref="C490" authorId="1" shapeId="0" xr:uid="{9C8E9C98-AC0C-419A-B35F-A8A88BEBDF47}">
      <text>
        <r>
          <rPr>
            <sz val="11"/>
            <color theme="1"/>
            <rFont val="Aptos Narrow"/>
            <family val="2"/>
            <scheme val="minor"/>
          </rPr>
          <t>Introduzca la fecha de inicio del proceso, en formato dd-mm-aaaa</t>
        </r>
      </text>
    </comment>
    <comment ref="F490" authorId="1" shapeId="0" xr:uid="{3F423AEA-FA56-4983-A8A4-5D14C0B468C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91" authorId="1" shapeId="0" xr:uid="{BFF606F0-8DF2-44FC-83CE-A89750A2AE3B}">
      <text/>
    </comment>
    <comment ref="C492" authorId="1" shapeId="0" xr:uid="{85650696-D3FB-43B1-96AF-6F12E3EB7E57}">
      <text>
        <r>
          <rPr>
            <sz val="11"/>
            <color theme="1"/>
            <rFont val="Aptos Narrow"/>
            <family val="2"/>
            <scheme val="minor"/>
          </rPr>
          <t>Introduzca la fecha prevista de adjudicación, en formato dd-mm-aaaa</t>
        </r>
      </text>
    </comment>
    <comment ref="F492" authorId="1" shapeId="0" xr:uid="{B5E7D265-E9CA-48E8-95C9-6605C29DAB29}">
      <text/>
    </comment>
    <comment ref="F493" authorId="1" shapeId="0" xr:uid="{033F4B90-8CF2-49EC-A9E8-09EB3264EE2E}">
      <text/>
    </comment>
    <comment ref="A495" authorId="1" shapeId="0" xr:uid="{D7A836A7-3830-4494-B15E-09B2B469E9E7}">
      <text>
        <r>
          <rPr>
            <sz val="11"/>
            <color theme="1"/>
            <rFont val="Aptos Narrow"/>
            <family val="2"/>
            <scheme val="minor"/>
          </rPr>
          <t>Introduzca un codigo UNSPSC</t>
        </r>
      </text>
    </comment>
    <comment ref="B495" authorId="1" shapeId="0" xr:uid="{96283F6F-B489-419A-B26F-517640BA247C}">
      <text>
        <r>
          <rPr>
            <sz val="11"/>
            <color theme="1"/>
            <rFont val="Aptos Narrow"/>
            <family val="2"/>
            <scheme val="minor"/>
          </rPr>
          <t>Descripción calculada automáticamente a partir de código del artículo</t>
        </r>
      </text>
    </comment>
    <comment ref="C495" authorId="1" shapeId="0" xr:uid="{BE03A2F8-AEC1-4720-9821-B3B887614914}">
      <text>
        <r>
          <rPr>
            <sz val="11"/>
            <color theme="1"/>
            <rFont val="Aptos Narrow"/>
            <family val="2"/>
            <scheme val="minor"/>
          </rPr>
          <t>Seleccione un valor de la lista</t>
        </r>
      </text>
    </comment>
    <comment ref="D495" authorId="1" shapeId="0" xr:uid="{A9CDC099-6D90-4F62-A136-5D5E35599644}">
      <text>
        <r>
          <rPr>
            <sz val="11"/>
            <color theme="1"/>
            <rFont val="Aptos Narrow"/>
            <family val="2"/>
            <scheme val="minor"/>
          </rPr>
          <t>Introduzca un número con dos decimales como máximo. Debe ser igual o mayor a la "Cantidad Real Consumida"</t>
        </r>
      </text>
    </comment>
    <comment ref="E495" authorId="1" shapeId="0" xr:uid="{6147458C-2393-4BAE-8637-D761B88CA106}">
      <text>
        <r>
          <rPr>
            <sz val="11"/>
            <color theme="1"/>
            <rFont val="Aptos Narrow"/>
            <family val="2"/>
            <scheme val="minor"/>
          </rPr>
          <t>Introduzca un número con dos decimales como máximo</t>
        </r>
      </text>
    </comment>
    <comment ref="F495" authorId="1" shapeId="0" xr:uid="{1B715A29-E56F-4E97-8524-AEFE2B4D578A}">
      <text>
        <r>
          <rPr>
            <sz val="11"/>
            <color theme="1"/>
            <rFont val="Aptos Narrow"/>
            <family val="2"/>
            <scheme val="minor"/>
          </rPr>
          <t>Monto calculado automáticamente por el sistema</t>
        </r>
      </text>
    </comment>
    <comment ref="A543" authorId="1" shapeId="0" xr:uid="{910854F4-8F40-476A-9B98-FDF263688050}">
      <text>
        <r>
          <rPr>
            <sz val="11"/>
            <color theme="1"/>
            <rFont val="Aptos Narrow"/>
            <family val="2"/>
            <scheme val="minor"/>
          </rPr>
          <t>Introducir un texto con el nombre o referencia de la contratación</t>
        </r>
      </text>
    </comment>
    <comment ref="B543" authorId="1" shapeId="0" xr:uid="{1C744A1F-72F4-444D-B9E6-69AF777798D7}">
      <text>
        <r>
          <rPr>
            <sz val="11"/>
            <color theme="1"/>
            <rFont val="Aptos Narrow"/>
            <family val="2"/>
            <scheme val="minor"/>
          </rPr>
          <t>Introduzca un texto con la finalidad de la contratación</t>
        </r>
      </text>
    </comment>
    <comment ref="C543" authorId="1" shapeId="0" xr:uid="{98AAAA1B-6982-46D2-996B-0D314739832E}">
      <text>
        <r>
          <rPr>
            <sz val="11"/>
            <color theme="1"/>
            <rFont val="Aptos Narrow"/>
            <family val="2"/>
            <scheme val="minor"/>
          </rPr>
          <t>Seleccionar un valor del listado</t>
        </r>
      </text>
    </comment>
    <comment ref="D543" authorId="1" shapeId="0" xr:uid="{95291465-D8B0-49FD-840F-97977FA23741}">
      <text>
        <r>
          <rPr>
            <sz val="11"/>
            <color theme="1"/>
            <rFont val="Aptos Narrow"/>
            <family val="2"/>
            <scheme val="minor"/>
          </rPr>
          <t>Seleccione el tipo de procedimiento</t>
        </r>
      </text>
    </comment>
    <comment ref="E543" authorId="1" shapeId="0" xr:uid="{678A7CEE-AAB9-4F63-A1E7-FEA94D6DCB69}">
      <text>
        <r>
          <rPr>
            <sz val="11"/>
            <color theme="1"/>
            <rFont val="Aptos Narrow"/>
            <family val="2"/>
            <scheme val="minor"/>
          </rPr>
          <t>Seleccione un valor de la lista</t>
        </r>
      </text>
    </comment>
    <comment ref="F543" authorId="1" shapeId="0" xr:uid="{9FBDE90B-2746-4B68-9FD5-9C9F7738E119}">
      <text>
        <r>
          <rPr>
            <sz val="11"/>
            <color theme="1"/>
            <rFont val="Aptos Narrow"/>
            <family val="2"/>
            <scheme val="minor"/>
          </rPr>
          <t>Introduzca el código SNIP</t>
        </r>
      </text>
    </comment>
    <comment ref="C544" authorId="1" shapeId="0" xr:uid="{AA61AD51-A29D-4BF4-A029-D426D636F476}">
      <text>
        <r>
          <rPr>
            <sz val="11"/>
            <color theme="1"/>
            <rFont val="Aptos Narrow"/>
            <family val="2"/>
            <scheme val="minor"/>
          </rPr>
          <t>Introduzca la fecha de inicio del proceso, en formato dd-mm-aaaa</t>
        </r>
      </text>
    </comment>
    <comment ref="F544" authorId="1" shapeId="0" xr:uid="{5C97F1B4-4AAD-4F26-AE6B-4D47E38E7EB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45" authorId="1" shapeId="0" xr:uid="{2DF69C29-C7DA-423E-99AE-6E0A0EF66ADF}">
      <text/>
    </comment>
    <comment ref="C546" authorId="1" shapeId="0" xr:uid="{108F3D6F-285A-4196-94BA-3D58B3D263E3}">
      <text>
        <r>
          <rPr>
            <sz val="11"/>
            <color theme="1"/>
            <rFont val="Aptos Narrow"/>
            <family val="2"/>
            <scheme val="minor"/>
          </rPr>
          <t>Introduzca la fecha prevista de adjudicación, en formato dd-mm-aaaa</t>
        </r>
      </text>
    </comment>
    <comment ref="F546" authorId="1" shapeId="0" xr:uid="{0A5C1305-C2A7-4E06-A409-D381CC43BCE0}">
      <text/>
    </comment>
    <comment ref="F547" authorId="1" shapeId="0" xr:uid="{D15AECAD-77D3-4D58-B72A-DBD1DD0EBE46}">
      <text/>
    </comment>
    <comment ref="A549" authorId="1" shapeId="0" xr:uid="{63C722A0-4EFC-4384-B9BE-5F3934D63374}">
      <text>
        <r>
          <rPr>
            <sz val="11"/>
            <color theme="1"/>
            <rFont val="Aptos Narrow"/>
            <family val="2"/>
            <scheme val="minor"/>
          </rPr>
          <t>Introduzca un codigo UNSPSC</t>
        </r>
      </text>
    </comment>
    <comment ref="B549" authorId="1" shapeId="0" xr:uid="{2ADA5C19-D6E5-4822-80C7-CFC0750347F8}">
      <text>
        <r>
          <rPr>
            <sz val="11"/>
            <color theme="1"/>
            <rFont val="Aptos Narrow"/>
            <family val="2"/>
            <scheme val="minor"/>
          </rPr>
          <t>Descripción calculada automáticamente a partir de código del artículo</t>
        </r>
      </text>
    </comment>
    <comment ref="C549" authorId="1" shapeId="0" xr:uid="{7A298506-0413-4521-B530-669A81CA5B4C}">
      <text>
        <r>
          <rPr>
            <sz val="11"/>
            <color theme="1"/>
            <rFont val="Aptos Narrow"/>
            <family val="2"/>
            <scheme val="minor"/>
          </rPr>
          <t>Seleccione un valor de la lista</t>
        </r>
      </text>
    </comment>
    <comment ref="D549" authorId="1" shapeId="0" xr:uid="{C0B446F8-FAFA-4E78-A53E-39B64B66E87E}">
      <text>
        <r>
          <rPr>
            <sz val="11"/>
            <color theme="1"/>
            <rFont val="Aptos Narrow"/>
            <family val="2"/>
            <scheme val="minor"/>
          </rPr>
          <t>Introduzca un número con dos decimales como máximo. Debe ser igual o mayor a la "Cantidad Real Consumida"</t>
        </r>
      </text>
    </comment>
    <comment ref="E549" authorId="1" shapeId="0" xr:uid="{5D47A16B-D568-4D6A-86A8-50D81C0B5611}">
      <text>
        <r>
          <rPr>
            <sz val="11"/>
            <color theme="1"/>
            <rFont val="Aptos Narrow"/>
            <family val="2"/>
            <scheme val="minor"/>
          </rPr>
          <t>Introduzca un número con dos decimales como máximo</t>
        </r>
      </text>
    </comment>
    <comment ref="F549" authorId="1" shapeId="0" xr:uid="{98DFABF6-7675-4961-834D-A827D593AB81}">
      <text>
        <r>
          <rPr>
            <sz val="11"/>
            <color theme="1"/>
            <rFont val="Aptos Narrow"/>
            <family val="2"/>
            <scheme val="minor"/>
          </rPr>
          <t>Monto calculado automáticamente por el sistema</t>
        </r>
      </text>
    </comment>
    <comment ref="A597" authorId="1" shapeId="0" xr:uid="{67C11A06-FC7E-4963-B6FE-54F17A5CEB7D}">
      <text>
        <r>
          <rPr>
            <sz val="11"/>
            <color theme="1"/>
            <rFont val="Aptos Narrow"/>
            <family val="2"/>
            <scheme val="minor"/>
          </rPr>
          <t>Introducir un texto con el nombre o referencia de la contratación</t>
        </r>
      </text>
    </comment>
    <comment ref="B597" authorId="1" shapeId="0" xr:uid="{C47C3C87-C530-4DED-B5F9-B81B568D5C01}">
      <text>
        <r>
          <rPr>
            <sz val="11"/>
            <color theme="1"/>
            <rFont val="Aptos Narrow"/>
            <family val="2"/>
            <scheme val="minor"/>
          </rPr>
          <t>Introduzca un texto con la finalidad de la contratación</t>
        </r>
      </text>
    </comment>
    <comment ref="C597" authorId="1" shapeId="0" xr:uid="{121B1CA0-B230-46A0-AEC6-225E21B58F50}">
      <text>
        <r>
          <rPr>
            <sz val="11"/>
            <color theme="1"/>
            <rFont val="Aptos Narrow"/>
            <family val="2"/>
            <scheme val="minor"/>
          </rPr>
          <t>Seleccionar un valor del listado</t>
        </r>
      </text>
    </comment>
    <comment ref="D597" authorId="1" shapeId="0" xr:uid="{B987ECD0-D810-476C-B7D8-2BE62EF08BA1}">
      <text>
        <r>
          <rPr>
            <sz val="11"/>
            <color theme="1"/>
            <rFont val="Aptos Narrow"/>
            <family val="2"/>
            <scheme val="minor"/>
          </rPr>
          <t>Seleccione el tipo de procedimiento</t>
        </r>
      </text>
    </comment>
    <comment ref="E597" authorId="1" shapeId="0" xr:uid="{99804257-3032-4DE8-A062-C9440AE2ED05}">
      <text>
        <r>
          <rPr>
            <sz val="11"/>
            <color theme="1"/>
            <rFont val="Aptos Narrow"/>
            <family val="2"/>
            <scheme val="minor"/>
          </rPr>
          <t>Seleccione un valor de la lista</t>
        </r>
      </text>
    </comment>
    <comment ref="F597" authorId="1" shapeId="0" xr:uid="{6103FBB8-41CB-4D5E-92B6-DFAC2FA02514}">
      <text>
        <r>
          <rPr>
            <sz val="11"/>
            <color theme="1"/>
            <rFont val="Aptos Narrow"/>
            <family val="2"/>
            <scheme val="minor"/>
          </rPr>
          <t>Introduzca el código SNIP</t>
        </r>
      </text>
    </comment>
    <comment ref="C598" authorId="1" shapeId="0" xr:uid="{3C854321-0013-4408-BD0E-2BEBAF4C3EE3}">
      <text>
        <r>
          <rPr>
            <sz val="11"/>
            <color theme="1"/>
            <rFont val="Aptos Narrow"/>
            <family val="2"/>
            <scheme val="minor"/>
          </rPr>
          <t>Introduzca la fecha de inicio del proceso, en formato dd-mm-aaaa</t>
        </r>
      </text>
    </comment>
    <comment ref="F598" authorId="1" shapeId="0" xr:uid="{9625929C-1907-4B66-B53F-669672E6C84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99" authorId="1" shapeId="0" xr:uid="{51825543-56FA-40D8-9384-F927138EBD90}">
      <text/>
    </comment>
    <comment ref="C600" authorId="1" shapeId="0" xr:uid="{B1A60097-E214-45B1-98FC-A8E6861FDF5D}">
      <text>
        <r>
          <rPr>
            <sz val="11"/>
            <color theme="1"/>
            <rFont val="Aptos Narrow"/>
            <family val="2"/>
            <scheme val="minor"/>
          </rPr>
          <t>Introduzca la fecha prevista de adjudicación, en formato dd-mm-aaaa</t>
        </r>
      </text>
    </comment>
    <comment ref="F600" authorId="1" shapeId="0" xr:uid="{F3575A35-2DD6-4516-80DD-B0770B5135CB}">
      <text/>
    </comment>
    <comment ref="F601" authorId="1" shapeId="0" xr:uid="{0A901D1C-AC9F-4EE2-9FD7-F9FE0023AE05}">
      <text/>
    </comment>
    <comment ref="A603" authorId="1" shapeId="0" xr:uid="{6023F917-5512-49A6-BCAE-CF72C9AB901B}">
      <text>
        <r>
          <rPr>
            <sz val="11"/>
            <color theme="1"/>
            <rFont val="Aptos Narrow"/>
            <family val="2"/>
            <scheme val="minor"/>
          </rPr>
          <t>Introduzca un codigo UNSPSC</t>
        </r>
      </text>
    </comment>
    <comment ref="B603" authorId="1" shapeId="0" xr:uid="{45CC37EA-ABEF-48FC-A14A-D5A45F01FCA4}">
      <text>
        <r>
          <rPr>
            <sz val="11"/>
            <color theme="1"/>
            <rFont val="Aptos Narrow"/>
            <family val="2"/>
            <scheme val="minor"/>
          </rPr>
          <t>Descripción calculada automáticamente a partir de código del artículo</t>
        </r>
      </text>
    </comment>
    <comment ref="C603" authorId="1" shapeId="0" xr:uid="{1E356BB8-60E1-4542-B5DD-7F509550A272}">
      <text>
        <r>
          <rPr>
            <sz val="11"/>
            <color theme="1"/>
            <rFont val="Aptos Narrow"/>
            <family val="2"/>
            <scheme val="minor"/>
          </rPr>
          <t>Seleccione un valor de la lista</t>
        </r>
      </text>
    </comment>
    <comment ref="D603" authorId="1" shapeId="0" xr:uid="{136A21D1-F620-413E-9B5B-9466884583C7}">
      <text>
        <r>
          <rPr>
            <sz val="11"/>
            <color theme="1"/>
            <rFont val="Aptos Narrow"/>
            <family val="2"/>
            <scheme val="minor"/>
          </rPr>
          <t>Introduzca un número con dos decimales como máximo. Debe ser igual o mayor a la "Cantidad Real Consumida"</t>
        </r>
      </text>
    </comment>
    <comment ref="E603" authorId="1" shapeId="0" xr:uid="{5F234BE6-E70E-4660-97A6-3B841C994922}">
      <text>
        <r>
          <rPr>
            <sz val="11"/>
            <color theme="1"/>
            <rFont val="Aptos Narrow"/>
            <family val="2"/>
            <scheme val="minor"/>
          </rPr>
          <t>Introduzca un número con dos decimales como máximo</t>
        </r>
      </text>
    </comment>
    <comment ref="F603" authorId="1" shapeId="0" xr:uid="{490508FA-0F91-4BCB-BBD9-44097C467DF1}">
      <text>
        <r>
          <rPr>
            <sz val="11"/>
            <color theme="1"/>
            <rFont val="Aptos Narrow"/>
            <family val="2"/>
            <scheme val="minor"/>
          </rPr>
          <t>Monto calculado automáticamente por el sistema</t>
        </r>
      </text>
    </comment>
    <comment ref="A651" authorId="1" shapeId="0" xr:uid="{06355F17-023A-4F08-9AB1-E9502F51672C}">
      <text>
        <r>
          <rPr>
            <sz val="11"/>
            <color theme="1"/>
            <rFont val="Aptos Narrow"/>
            <family val="2"/>
            <scheme val="minor"/>
          </rPr>
          <t>Introducir un texto con el nombre o referencia de la contratación</t>
        </r>
      </text>
    </comment>
    <comment ref="B651" authorId="1" shapeId="0" xr:uid="{3D850254-4F10-4B6F-915A-DEFA0221F60C}">
      <text>
        <r>
          <rPr>
            <sz val="11"/>
            <color theme="1"/>
            <rFont val="Aptos Narrow"/>
            <family val="2"/>
            <scheme val="minor"/>
          </rPr>
          <t>Introduzca un texto con la finalidad de la contratación</t>
        </r>
      </text>
    </comment>
    <comment ref="C651" authorId="1" shapeId="0" xr:uid="{E62D1378-FB19-4E17-A622-5BFAACC50D12}">
      <text>
        <r>
          <rPr>
            <sz val="11"/>
            <color theme="1"/>
            <rFont val="Aptos Narrow"/>
            <family val="2"/>
            <scheme val="minor"/>
          </rPr>
          <t>Seleccionar un valor del listado</t>
        </r>
      </text>
    </comment>
    <comment ref="D651" authorId="1" shapeId="0" xr:uid="{960F62AB-EBF4-453F-9DDA-9C0EADDAEA70}">
      <text>
        <r>
          <rPr>
            <sz val="11"/>
            <color theme="1"/>
            <rFont val="Aptos Narrow"/>
            <family val="2"/>
            <scheme val="minor"/>
          </rPr>
          <t>Seleccione el tipo de procedimiento</t>
        </r>
      </text>
    </comment>
    <comment ref="E651" authorId="1" shapeId="0" xr:uid="{14E6D5BE-3BD7-45FB-A1C1-A86B4E041F78}">
      <text>
        <r>
          <rPr>
            <sz val="11"/>
            <color theme="1"/>
            <rFont val="Aptos Narrow"/>
            <family val="2"/>
            <scheme val="minor"/>
          </rPr>
          <t>Seleccione un valor de la lista</t>
        </r>
      </text>
    </comment>
    <comment ref="F651" authorId="1" shapeId="0" xr:uid="{29CBBC35-DCED-42AC-8086-0D4A42F1DF89}">
      <text>
        <r>
          <rPr>
            <sz val="11"/>
            <color theme="1"/>
            <rFont val="Aptos Narrow"/>
            <family val="2"/>
            <scheme val="minor"/>
          </rPr>
          <t>Introduzca el código SNIP</t>
        </r>
      </text>
    </comment>
    <comment ref="C652" authorId="1" shapeId="0" xr:uid="{624BF405-6BF2-4084-8187-4B4834371F63}">
      <text>
        <r>
          <rPr>
            <sz val="11"/>
            <color theme="1"/>
            <rFont val="Aptos Narrow"/>
            <family val="2"/>
            <scheme val="minor"/>
          </rPr>
          <t>Introduzca la fecha de inicio del proceso, en formato dd-mm-aaaa</t>
        </r>
      </text>
    </comment>
    <comment ref="F652" authorId="1" shapeId="0" xr:uid="{B1142DBB-2598-45C4-986A-1840C8835BE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53" authorId="1" shapeId="0" xr:uid="{C6148118-5D07-44EC-B5A6-FB68337D3E02}">
      <text/>
    </comment>
    <comment ref="C654" authorId="1" shapeId="0" xr:uid="{A4D7A9C8-52E9-4B12-AB0E-A789952D3FA8}">
      <text>
        <r>
          <rPr>
            <sz val="11"/>
            <color theme="1"/>
            <rFont val="Aptos Narrow"/>
            <family val="2"/>
            <scheme val="minor"/>
          </rPr>
          <t>Introduzca la fecha prevista de adjudicación, en formato dd-mm-aaaa</t>
        </r>
      </text>
    </comment>
    <comment ref="F654" authorId="1" shapeId="0" xr:uid="{A942E8EB-9AFA-4475-B6C5-986AB62FFE60}">
      <text/>
    </comment>
    <comment ref="F655" authorId="1" shapeId="0" xr:uid="{413B1F6D-E968-4B34-9714-EE0773B16981}">
      <text/>
    </comment>
    <comment ref="A657" authorId="1" shapeId="0" xr:uid="{5D449B8E-B0C7-4D97-B3BE-5F90432BC911}">
      <text>
        <r>
          <rPr>
            <sz val="11"/>
            <color theme="1"/>
            <rFont val="Aptos Narrow"/>
            <family val="2"/>
            <scheme val="minor"/>
          </rPr>
          <t>Introduzca un codigo UNSPSC</t>
        </r>
      </text>
    </comment>
    <comment ref="B657" authorId="1" shapeId="0" xr:uid="{E8823DA7-884B-44AC-B9D5-2A34F0DDAB04}">
      <text>
        <r>
          <rPr>
            <sz val="11"/>
            <color theme="1"/>
            <rFont val="Aptos Narrow"/>
            <family val="2"/>
            <scheme val="minor"/>
          </rPr>
          <t>Descripción calculada automáticamente a partir de código del artículo</t>
        </r>
      </text>
    </comment>
    <comment ref="C657" authorId="1" shapeId="0" xr:uid="{69756ECB-BD6D-49FE-8CF6-D24BA13F1FC2}">
      <text>
        <r>
          <rPr>
            <sz val="11"/>
            <color theme="1"/>
            <rFont val="Aptos Narrow"/>
            <family val="2"/>
            <scheme val="minor"/>
          </rPr>
          <t>Seleccione un valor de la lista</t>
        </r>
      </text>
    </comment>
    <comment ref="D657" authorId="1" shapeId="0" xr:uid="{0B9FC680-C9D3-48ED-8520-4011AD31F094}">
      <text>
        <r>
          <rPr>
            <sz val="11"/>
            <color theme="1"/>
            <rFont val="Aptos Narrow"/>
            <family val="2"/>
            <scheme val="minor"/>
          </rPr>
          <t>Introduzca un número con dos decimales como máximo. Debe ser igual o mayor a la "Cantidad Real Consumida"</t>
        </r>
      </text>
    </comment>
    <comment ref="E657" authorId="1" shapeId="0" xr:uid="{3129982C-6D60-416C-A6E2-02A4ABF90825}">
      <text>
        <r>
          <rPr>
            <sz val="11"/>
            <color theme="1"/>
            <rFont val="Aptos Narrow"/>
            <family val="2"/>
            <scheme val="minor"/>
          </rPr>
          <t>Introduzca un número con dos decimales como máximo</t>
        </r>
      </text>
    </comment>
    <comment ref="F657" authorId="1" shapeId="0" xr:uid="{C96B6FF9-BC72-40F1-AC3A-0067215B73FA}">
      <text>
        <r>
          <rPr>
            <sz val="11"/>
            <color theme="1"/>
            <rFont val="Aptos Narrow"/>
            <family val="2"/>
            <scheme val="minor"/>
          </rPr>
          <t>Monto calculado automáticamente por el sistema</t>
        </r>
      </text>
    </comment>
    <comment ref="A705" authorId="1" shapeId="0" xr:uid="{299B4428-30AE-4658-8108-E625909D45E4}">
      <text>
        <r>
          <rPr>
            <sz val="11"/>
            <color theme="1"/>
            <rFont val="Aptos Narrow"/>
            <family val="2"/>
            <scheme val="minor"/>
          </rPr>
          <t>Introducir un texto con el nombre o referencia de la contratación</t>
        </r>
      </text>
    </comment>
    <comment ref="B705" authorId="1" shapeId="0" xr:uid="{CC5F84E6-37F5-4912-A145-5B2CA6D7A38E}">
      <text>
        <r>
          <rPr>
            <sz val="11"/>
            <color theme="1"/>
            <rFont val="Aptos Narrow"/>
            <family val="2"/>
            <scheme val="minor"/>
          </rPr>
          <t>Introduzca un texto con la finalidad de la contratación</t>
        </r>
      </text>
    </comment>
    <comment ref="C705" authorId="1" shapeId="0" xr:uid="{B6F99B8B-80BB-46D9-8535-B7924B3E3D87}">
      <text>
        <r>
          <rPr>
            <sz val="11"/>
            <color theme="1"/>
            <rFont val="Aptos Narrow"/>
            <family val="2"/>
            <scheme val="minor"/>
          </rPr>
          <t>Seleccionar un valor del listado</t>
        </r>
      </text>
    </comment>
    <comment ref="D705" authorId="1" shapeId="0" xr:uid="{5B30DBD3-26AB-4BD6-9133-463E4E4515A5}">
      <text>
        <r>
          <rPr>
            <sz val="11"/>
            <color theme="1"/>
            <rFont val="Aptos Narrow"/>
            <family val="2"/>
            <scheme val="minor"/>
          </rPr>
          <t>Seleccione el tipo de procedimiento</t>
        </r>
      </text>
    </comment>
    <comment ref="E705" authorId="1" shapeId="0" xr:uid="{72FA200B-814A-488B-84AA-CBE443ABEE84}">
      <text>
        <r>
          <rPr>
            <sz val="11"/>
            <color theme="1"/>
            <rFont val="Aptos Narrow"/>
            <family val="2"/>
            <scheme val="minor"/>
          </rPr>
          <t>Seleccione un valor de la lista</t>
        </r>
      </text>
    </comment>
    <comment ref="F705" authorId="1" shapeId="0" xr:uid="{A9D8543A-F4F3-4537-9ED4-AC6B2E9F7ECA}">
      <text>
        <r>
          <rPr>
            <sz val="11"/>
            <color theme="1"/>
            <rFont val="Aptos Narrow"/>
            <family val="2"/>
            <scheme val="minor"/>
          </rPr>
          <t>Introduzca el código SNIP</t>
        </r>
      </text>
    </comment>
    <comment ref="C706" authorId="1" shapeId="0" xr:uid="{B10DD54A-E8DC-46AC-A8AF-1410DFAD6F88}">
      <text>
        <r>
          <rPr>
            <sz val="11"/>
            <color theme="1"/>
            <rFont val="Aptos Narrow"/>
            <family val="2"/>
            <scheme val="minor"/>
          </rPr>
          <t>Introduzca la fecha de inicio del proceso, en formato dd-mm-aaaa</t>
        </r>
      </text>
    </comment>
    <comment ref="F706" authorId="1" shapeId="0" xr:uid="{62D0345A-98C5-4604-A440-40E40223E3A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07" authorId="1" shapeId="0" xr:uid="{C536416F-2C4E-44DB-AAB2-DB3ADEE8E322}">
      <text/>
    </comment>
    <comment ref="C708" authorId="1" shapeId="0" xr:uid="{38395BC9-E1F3-4006-8BD9-D825CBC10770}">
      <text>
        <r>
          <rPr>
            <sz val="11"/>
            <color theme="1"/>
            <rFont val="Aptos Narrow"/>
            <family val="2"/>
            <scheme val="minor"/>
          </rPr>
          <t>Introduzca la fecha prevista de adjudicación, en formato dd-mm-aaaa</t>
        </r>
      </text>
    </comment>
    <comment ref="F708" authorId="1" shapeId="0" xr:uid="{F2B7A65E-5734-4272-AFB7-BDC976F36839}">
      <text/>
    </comment>
    <comment ref="F709" authorId="1" shapeId="0" xr:uid="{AE99F2B7-3383-451D-A27D-35D959A33395}">
      <text/>
    </comment>
    <comment ref="A711" authorId="1" shapeId="0" xr:uid="{F97307EE-7702-48A7-9D91-E07D84B25734}">
      <text>
        <r>
          <rPr>
            <sz val="11"/>
            <color theme="1"/>
            <rFont val="Aptos Narrow"/>
            <family val="2"/>
            <scheme val="minor"/>
          </rPr>
          <t>Introduzca un codigo UNSPSC</t>
        </r>
      </text>
    </comment>
    <comment ref="B711" authorId="1" shapeId="0" xr:uid="{3BD0E7C6-4E32-4590-A8DA-D5FEC7A299C0}">
      <text>
        <r>
          <rPr>
            <sz val="11"/>
            <color theme="1"/>
            <rFont val="Aptos Narrow"/>
            <family val="2"/>
            <scheme val="minor"/>
          </rPr>
          <t>Descripción calculada automáticamente a partir de código del artículo</t>
        </r>
      </text>
    </comment>
    <comment ref="C711" authorId="1" shapeId="0" xr:uid="{34261ED8-05B0-4D96-AA86-7EABEA914415}">
      <text>
        <r>
          <rPr>
            <sz val="11"/>
            <color theme="1"/>
            <rFont val="Aptos Narrow"/>
            <family val="2"/>
            <scheme val="minor"/>
          </rPr>
          <t>Seleccione un valor de la lista</t>
        </r>
      </text>
    </comment>
    <comment ref="D711" authorId="1" shapeId="0" xr:uid="{6DE4A93C-1755-48BF-83AE-3396706BB4B5}">
      <text>
        <r>
          <rPr>
            <sz val="11"/>
            <color theme="1"/>
            <rFont val="Aptos Narrow"/>
            <family val="2"/>
            <scheme val="minor"/>
          </rPr>
          <t>Introduzca un número con dos decimales como máximo. Debe ser igual o mayor a la "Cantidad Real Consumida"</t>
        </r>
      </text>
    </comment>
    <comment ref="E711" authorId="1" shapeId="0" xr:uid="{1CB7CBDB-0220-4664-887B-B4D313710087}">
      <text>
        <r>
          <rPr>
            <sz val="11"/>
            <color theme="1"/>
            <rFont val="Aptos Narrow"/>
            <family val="2"/>
            <scheme val="minor"/>
          </rPr>
          <t>Introduzca un número con dos decimales como máximo</t>
        </r>
      </text>
    </comment>
    <comment ref="F711" authorId="1" shapeId="0" xr:uid="{3FC5B89F-DD58-405C-BAFD-BBCF58846F3E}">
      <text>
        <r>
          <rPr>
            <sz val="11"/>
            <color theme="1"/>
            <rFont val="Aptos Narrow"/>
            <family val="2"/>
            <scheme val="minor"/>
          </rPr>
          <t>Monto calculado automáticamente por el sistema</t>
        </r>
      </text>
    </comment>
    <comment ref="A759" authorId="1" shapeId="0" xr:uid="{C5F8E4CE-CC43-4F64-BC29-49F57698C202}">
      <text>
        <r>
          <rPr>
            <sz val="11"/>
            <color theme="1"/>
            <rFont val="Aptos Narrow"/>
            <family val="2"/>
            <scheme val="minor"/>
          </rPr>
          <t>Introducir un texto con el nombre o referencia de la contratación</t>
        </r>
      </text>
    </comment>
    <comment ref="B759" authorId="1" shapeId="0" xr:uid="{20C8408C-CA0D-49AA-87EB-D806E935B305}">
      <text>
        <r>
          <rPr>
            <sz val="11"/>
            <color theme="1"/>
            <rFont val="Aptos Narrow"/>
            <family val="2"/>
            <scheme val="minor"/>
          </rPr>
          <t>Introduzca un texto con la finalidad de la contratación</t>
        </r>
      </text>
    </comment>
    <comment ref="C759" authorId="1" shapeId="0" xr:uid="{DAA61307-2B6B-48FC-A0A7-648C8E2B725A}">
      <text>
        <r>
          <rPr>
            <sz val="11"/>
            <color theme="1"/>
            <rFont val="Aptos Narrow"/>
            <family val="2"/>
            <scheme val="minor"/>
          </rPr>
          <t>Seleccionar un valor del listado</t>
        </r>
      </text>
    </comment>
    <comment ref="D759" authorId="1" shapeId="0" xr:uid="{565A9D2F-FD2F-4489-BB04-BFC383AA62DC}">
      <text>
        <r>
          <rPr>
            <sz val="11"/>
            <color theme="1"/>
            <rFont val="Aptos Narrow"/>
            <family val="2"/>
            <scheme val="minor"/>
          </rPr>
          <t>Seleccione el tipo de procedimiento</t>
        </r>
      </text>
    </comment>
    <comment ref="E759" authorId="1" shapeId="0" xr:uid="{300B5F8F-4024-4EC4-8C81-E3410A7D7D32}">
      <text>
        <r>
          <rPr>
            <sz val="11"/>
            <color theme="1"/>
            <rFont val="Aptos Narrow"/>
            <family val="2"/>
            <scheme val="minor"/>
          </rPr>
          <t>Seleccione un valor de la lista</t>
        </r>
      </text>
    </comment>
    <comment ref="F759" authorId="1" shapeId="0" xr:uid="{31F8CB36-2D16-4CCF-8B21-6873E2274F41}">
      <text>
        <r>
          <rPr>
            <sz val="11"/>
            <color theme="1"/>
            <rFont val="Aptos Narrow"/>
            <family val="2"/>
            <scheme val="minor"/>
          </rPr>
          <t>Introduzca el código SNIP</t>
        </r>
      </text>
    </comment>
    <comment ref="C760" authorId="1" shapeId="0" xr:uid="{CE6AC458-5A12-42DA-9894-340CA82694A9}">
      <text>
        <r>
          <rPr>
            <sz val="11"/>
            <color theme="1"/>
            <rFont val="Aptos Narrow"/>
            <family val="2"/>
            <scheme val="minor"/>
          </rPr>
          <t>Introduzca la fecha de inicio del proceso, en formato dd-mm-aaaa</t>
        </r>
      </text>
    </comment>
    <comment ref="F760" authorId="1" shapeId="0" xr:uid="{5A5A2A86-3C0D-428F-98CB-E71D1A9BF54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61" authorId="1" shapeId="0" xr:uid="{14D0D31A-52CD-49C4-BFE4-770F5609D6D0}">
      <text/>
    </comment>
    <comment ref="C762" authorId="1" shapeId="0" xr:uid="{097AD8DB-B97F-46F8-9C52-4B1F909BA0C1}">
      <text>
        <r>
          <rPr>
            <sz val="11"/>
            <color theme="1"/>
            <rFont val="Aptos Narrow"/>
            <family val="2"/>
            <scheme val="minor"/>
          </rPr>
          <t>Introduzca la fecha prevista de adjudicación, en formato dd-mm-aaaa</t>
        </r>
      </text>
    </comment>
    <comment ref="F762" authorId="1" shapeId="0" xr:uid="{F17F1C3A-147A-49E6-917A-A7CBEDC060DF}">
      <text/>
    </comment>
    <comment ref="F763" authorId="1" shapeId="0" xr:uid="{788C1707-6A45-404A-9AE1-23A5F130C75B}">
      <text/>
    </comment>
    <comment ref="A765" authorId="1" shapeId="0" xr:uid="{A9183316-B2FF-48CC-8B67-CEBD79CDFE2F}">
      <text>
        <r>
          <rPr>
            <sz val="11"/>
            <color theme="1"/>
            <rFont val="Aptos Narrow"/>
            <family val="2"/>
            <scheme val="minor"/>
          </rPr>
          <t>Introduzca un codigo UNSPSC</t>
        </r>
      </text>
    </comment>
    <comment ref="B765" authorId="1" shapeId="0" xr:uid="{A6B5783B-D036-479D-B7EC-1A272296613A}">
      <text>
        <r>
          <rPr>
            <sz val="11"/>
            <color theme="1"/>
            <rFont val="Aptos Narrow"/>
            <family val="2"/>
            <scheme val="minor"/>
          </rPr>
          <t>Descripción calculada automáticamente a partir de código del artículo</t>
        </r>
      </text>
    </comment>
    <comment ref="C765" authorId="1" shapeId="0" xr:uid="{1FF1D4AD-A4D9-405F-8C5B-6B9167E4EF0C}">
      <text>
        <r>
          <rPr>
            <sz val="11"/>
            <color theme="1"/>
            <rFont val="Aptos Narrow"/>
            <family val="2"/>
            <scheme val="minor"/>
          </rPr>
          <t>Seleccione un valor de la lista</t>
        </r>
      </text>
    </comment>
    <comment ref="D765" authorId="1" shapeId="0" xr:uid="{ACE62C42-199C-4BB0-A7F5-ABF60AF26582}">
      <text>
        <r>
          <rPr>
            <sz val="11"/>
            <color theme="1"/>
            <rFont val="Aptos Narrow"/>
            <family val="2"/>
            <scheme val="minor"/>
          </rPr>
          <t>Introduzca un número con dos decimales como máximo. Debe ser igual o mayor a la "Cantidad Real Consumida"</t>
        </r>
      </text>
    </comment>
    <comment ref="E765" authorId="1" shapeId="0" xr:uid="{5BACE46D-7037-457A-B5F8-9143DB237ACC}">
      <text>
        <r>
          <rPr>
            <sz val="11"/>
            <color theme="1"/>
            <rFont val="Aptos Narrow"/>
            <family val="2"/>
            <scheme val="minor"/>
          </rPr>
          <t>Introduzca un número con dos decimales como máximo</t>
        </r>
      </text>
    </comment>
    <comment ref="F765" authorId="1" shapeId="0" xr:uid="{2B8791E5-A575-4D3A-AC33-B88572070806}">
      <text>
        <r>
          <rPr>
            <sz val="11"/>
            <color theme="1"/>
            <rFont val="Aptos Narrow"/>
            <family val="2"/>
            <scheme val="minor"/>
          </rPr>
          <t>Monto calculado automáticamente por el sistema</t>
        </r>
      </text>
    </comment>
    <comment ref="A813" authorId="1" shapeId="0" xr:uid="{82ED4EA8-D93A-4A00-802F-4247102AB86F}">
      <text>
        <r>
          <rPr>
            <sz val="11"/>
            <color theme="1"/>
            <rFont val="Aptos Narrow"/>
            <family val="2"/>
            <scheme val="minor"/>
          </rPr>
          <t>Introducir un texto con el nombre o referencia de la contratación</t>
        </r>
      </text>
    </comment>
    <comment ref="B813" authorId="1" shapeId="0" xr:uid="{20B7864E-26BE-4B06-9AAD-E316B6FDB341}">
      <text>
        <r>
          <rPr>
            <sz val="11"/>
            <color theme="1"/>
            <rFont val="Aptos Narrow"/>
            <family val="2"/>
            <scheme val="minor"/>
          </rPr>
          <t>Introduzca un texto con la finalidad de la contratación</t>
        </r>
      </text>
    </comment>
    <comment ref="C813" authorId="1" shapeId="0" xr:uid="{D18DF8A0-1FEB-4E77-8410-4C012E592B4C}">
      <text>
        <r>
          <rPr>
            <sz val="11"/>
            <color theme="1"/>
            <rFont val="Aptos Narrow"/>
            <family val="2"/>
            <scheme val="minor"/>
          </rPr>
          <t>Seleccionar un valor del listado</t>
        </r>
      </text>
    </comment>
    <comment ref="D813" authorId="1" shapeId="0" xr:uid="{B3353BA4-41A0-4844-A4E8-2A28CB1854EC}">
      <text>
        <r>
          <rPr>
            <sz val="11"/>
            <color theme="1"/>
            <rFont val="Aptos Narrow"/>
            <family val="2"/>
            <scheme val="minor"/>
          </rPr>
          <t>Seleccione el tipo de procedimiento</t>
        </r>
      </text>
    </comment>
    <comment ref="E813" authorId="1" shapeId="0" xr:uid="{A2D78413-E5F3-49D2-9859-F8717E564231}">
      <text>
        <r>
          <rPr>
            <sz val="11"/>
            <color theme="1"/>
            <rFont val="Aptos Narrow"/>
            <family val="2"/>
            <scheme val="minor"/>
          </rPr>
          <t>Seleccione un valor de la lista</t>
        </r>
      </text>
    </comment>
    <comment ref="F813" authorId="1" shapeId="0" xr:uid="{EB239CD6-2C7B-4306-AA64-EF151933E8BB}">
      <text>
        <r>
          <rPr>
            <sz val="11"/>
            <color theme="1"/>
            <rFont val="Aptos Narrow"/>
            <family val="2"/>
            <scheme val="minor"/>
          </rPr>
          <t>Introduzca el código SNIP</t>
        </r>
      </text>
    </comment>
    <comment ref="C814" authorId="1" shapeId="0" xr:uid="{91C76ACE-DDF1-406A-890C-C8B74A275352}">
      <text>
        <r>
          <rPr>
            <sz val="11"/>
            <color theme="1"/>
            <rFont val="Aptos Narrow"/>
            <family val="2"/>
            <scheme val="minor"/>
          </rPr>
          <t>Introduzca la fecha de inicio del proceso, en formato dd-mm-aaaa</t>
        </r>
      </text>
    </comment>
    <comment ref="F814" authorId="1" shapeId="0" xr:uid="{E516CD10-A00E-455B-8A85-9B377DCF306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15" authorId="1" shapeId="0" xr:uid="{DDF4BD2A-7217-4EBF-A662-4986BD2BA92B}">
      <text/>
    </comment>
    <comment ref="C816" authorId="1" shapeId="0" xr:uid="{7CF93C56-374B-48E6-8E4F-02106E84F2A8}">
      <text>
        <r>
          <rPr>
            <sz val="11"/>
            <color theme="1"/>
            <rFont val="Aptos Narrow"/>
            <family val="2"/>
            <scheme val="minor"/>
          </rPr>
          <t>Introduzca la fecha prevista de adjudicación, en formato dd-mm-aaaa</t>
        </r>
      </text>
    </comment>
    <comment ref="F816" authorId="1" shapeId="0" xr:uid="{12F95E16-3F31-4A13-A1C7-14E07B97D4C6}">
      <text/>
    </comment>
    <comment ref="F817" authorId="1" shapeId="0" xr:uid="{93D1B4DD-AF1C-4A60-BB31-3BF8E20A0B86}">
      <text/>
    </comment>
    <comment ref="A819" authorId="1" shapeId="0" xr:uid="{8FF8E8C0-D16C-4857-8743-825CE0976862}">
      <text>
        <r>
          <rPr>
            <sz val="11"/>
            <color theme="1"/>
            <rFont val="Aptos Narrow"/>
            <family val="2"/>
            <scheme val="minor"/>
          </rPr>
          <t>Introduzca un codigo UNSPSC</t>
        </r>
      </text>
    </comment>
    <comment ref="B819" authorId="1" shapeId="0" xr:uid="{A5551C02-8AB9-4590-AB76-F6BA8CFFA594}">
      <text>
        <r>
          <rPr>
            <sz val="11"/>
            <color theme="1"/>
            <rFont val="Aptos Narrow"/>
            <family val="2"/>
            <scheme val="minor"/>
          </rPr>
          <t>Descripción calculada automáticamente a partir de código del artículo</t>
        </r>
      </text>
    </comment>
    <comment ref="C819" authorId="1" shapeId="0" xr:uid="{94859A8C-4BF0-4E1D-A6E9-157D538CCD94}">
      <text>
        <r>
          <rPr>
            <sz val="11"/>
            <color theme="1"/>
            <rFont val="Aptos Narrow"/>
            <family val="2"/>
            <scheme val="minor"/>
          </rPr>
          <t>Seleccione un valor de la lista</t>
        </r>
      </text>
    </comment>
    <comment ref="D819" authorId="1" shapeId="0" xr:uid="{661D6DDE-69E2-4206-9F6A-A27756C4329B}">
      <text>
        <r>
          <rPr>
            <sz val="11"/>
            <color theme="1"/>
            <rFont val="Aptos Narrow"/>
            <family val="2"/>
            <scheme val="minor"/>
          </rPr>
          <t>Introduzca un número con dos decimales como máximo. Debe ser igual o mayor a la "Cantidad Real Consumida"</t>
        </r>
      </text>
    </comment>
    <comment ref="E819" authorId="1" shapeId="0" xr:uid="{8E40550D-B018-4C54-B187-D4A643A8CA20}">
      <text>
        <r>
          <rPr>
            <sz val="11"/>
            <color theme="1"/>
            <rFont val="Aptos Narrow"/>
            <family val="2"/>
            <scheme val="minor"/>
          </rPr>
          <t>Introduzca un número con dos decimales como máximo</t>
        </r>
      </text>
    </comment>
    <comment ref="F819" authorId="1" shapeId="0" xr:uid="{D5EC5B8C-3C84-49F1-9ADF-66E98DA0FB93}">
      <text>
        <r>
          <rPr>
            <sz val="11"/>
            <color theme="1"/>
            <rFont val="Aptos Narrow"/>
            <family val="2"/>
            <scheme val="minor"/>
          </rPr>
          <t>Monto calculado automáticamente por el sistema</t>
        </r>
      </text>
    </comment>
    <comment ref="A828" authorId="1" shapeId="0" xr:uid="{3805A358-0AB0-46CB-8281-249F409D4D38}">
      <text>
        <r>
          <rPr>
            <sz val="11"/>
            <color theme="1"/>
            <rFont val="Aptos Narrow"/>
            <family val="2"/>
            <scheme val="minor"/>
          </rPr>
          <t>Introducir un texto con el nombre o referencia de la contratación</t>
        </r>
      </text>
    </comment>
    <comment ref="B828" authorId="1" shapeId="0" xr:uid="{10244F6A-3B9B-46E5-9869-2FF7049DFF19}">
      <text>
        <r>
          <rPr>
            <sz val="11"/>
            <color theme="1"/>
            <rFont val="Aptos Narrow"/>
            <family val="2"/>
            <scheme val="minor"/>
          </rPr>
          <t>Introduzca un texto con la finalidad de la contratación</t>
        </r>
      </text>
    </comment>
    <comment ref="C828" authorId="1" shapeId="0" xr:uid="{A02BF2B3-687E-406D-8431-BF17E99B7D6A}">
      <text>
        <r>
          <rPr>
            <sz val="11"/>
            <color theme="1"/>
            <rFont val="Aptos Narrow"/>
            <family val="2"/>
            <scheme val="minor"/>
          </rPr>
          <t>Seleccionar un valor del listado</t>
        </r>
      </text>
    </comment>
    <comment ref="D828" authorId="1" shapeId="0" xr:uid="{D5CE3B5A-45C4-4299-9577-A76B3E22430D}">
      <text>
        <r>
          <rPr>
            <sz val="11"/>
            <color theme="1"/>
            <rFont val="Aptos Narrow"/>
            <family val="2"/>
            <scheme val="minor"/>
          </rPr>
          <t>Seleccione el tipo de procedimiento</t>
        </r>
      </text>
    </comment>
    <comment ref="E828" authorId="1" shapeId="0" xr:uid="{71593E88-62EA-4313-B50D-A3740B216ACA}">
      <text>
        <r>
          <rPr>
            <sz val="11"/>
            <color theme="1"/>
            <rFont val="Aptos Narrow"/>
            <family val="2"/>
            <scheme val="minor"/>
          </rPr>
          <t>Seleccione un valor de la lista</t>
        </r>
      </text>
    </comment>
    <comment ref="F828" authorId="1" shapeId="0" xr:uid="{4A67013E-A847-4720-839D-F30A998AC991}">
      <text>
        <r>
          <rPr>
            <sz val="11"/>
            <color theme="1"/>
            <rFont val="Aptos Narrow"/>
            <family val="2"/>
            <scheme val="minor"/>
          </rPr>
          <t>Introduzca el código SNIP</t>
        </r>
      </text>
    </comment>
    <comment ref="C829" authorId="1" shapeId="0" xr:uid="{3776669E-AC25-4304-9865-9C432E6DEBA2}">
      <text>
        <r>
          <rPr>
            <sz val="11"/>
            <color theme="1"/>
            <rFont val="Aptos Narrow"/>
            <family val="2"/>
            <scheme val="minor"/>
          </rPr>
          <t>Introduzca la fecha de inicio del proceso, en formato dd-mm-aaaa</t>
        </r>
      </text>
    </comment>
    <comment ref="F829" authorId="1" shapeId="0" xr:uid="{C4590A78-AD50-409B-B852-C75458C5DC3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30" authorId="1" shapeId="0" xr:uid="{0CCA674A-BDE6-43F2-ADB7-9708131E533A}">
      <text/>
    </comment>
    <comment ref="C831" authorId="1" shapeId="0" xr:uid="{4C32AF33-7D48-4C6C-BB6A-A7CF00B1C134}">
      <text>
        <r>
          <rPr>
            <sz val="11"/>
            <color theme="1"/>
            <rFont val="Aptos Narrow"/>
            <family val="2"/>
            <scheme val="minor"/>
          </rPr>
          <t>Introduzca la fecha prevista de adjudicación, en formato dd-mm-aaaa</t>
        </r>
      </text>
    </comment>
    <comment ref="F831" authorId="1" shapeId="0" xr:uid="{9783EE22-CF4D-4AF1-993E-760FA0C02875}">
      <text/>
    </comment>
    <comment ref="F832" authorId="1" shapeId="0" xr:uid="{99FA41EB-4371-4939-A8B5-D05BEBC37B65}">
      <text/>
    </comment>
    <comment ref="A834" authorId="1" shapeId="0" xr:uid="{1FF610D2-9176-4E8C-AAF2-8AB4104B8B03}">
      <text>
        <r>
          <rPr>
            <sz val="11"/>
            <color theme="1"/>
            <rFont val="Aptos Narrow"/>
            <family val="2"/>
            <scheme val="minor"/>
          </rPr>
          <t>Introduzca un codigo UNSPSC</t>
        </r>
      </text>
    </comment>
    <comment ref="B834" authorId="1" shapeId="0" xr:uid="{EE29C504-2445-4F6D-8016-951C251081F0}">
      <text>
        <r>
          <rPr>
            <sz val="11"/>
            <color theme="1"/>
            <rFont val="Aptos Narrow"/>
            <family val="2"/>
            <scheme val="minor"/>
          </rPr>
          <t>Descripción calculada automáticamente a partir de código del artículo</t>
        </r>
      </text>
    </comment>
    <comment ref="C834" authorId="1" shapeId="0" xr:uid="{C6911441-457B-432E-9056-CEE67B0B92E4}">
      <text>
        <r>
          <rPr>
            <sz val="11"/>
            <color theme="1"/>
            <rFont val="Aptos Narrow"/>
            <family val="2"/>
            <scheme val="minor"/>
          </rPr>
          <t>Seleccione un valor de la lista</t>
        </r>
      </text>
    </comment>
    <comment ref="D834" authorId="1" shapeId="0" xr:uid="{C33351BA-B35A-41B0-9A70-942DE835C65A}">
      <text>
        <r>
          <rPr>
            <sz val="11"/>
            <color theme="1"/>
            <rFont val="Aptos Narrow"/>
            <family val="2"/>
            <scheme val="minor"/>
          </rPr>
          <t>Introduzca un número con dos decimales como máximo. Debe ser igual o mayor a la "Cantidad Real Consumida"</t>
        </r>
      </text>
    </comment>
    <comment ref="E834" authorId="1" shapeId="0" xr:uid="{3431E5D8-299C-4E11-B4FA-8DDD90F23E93}">
      <text>
        <r>
          <rPr>
            <sz val="11"/>
            <color theme="1"/>
            <rFont val="Aptos Narrow"/>
            <family val="2"/>
            <scheme val="minor"/>
          </rPr>
          <t>Introduzca un número con dos decimales como máximo</t>
        </r>
      </text>
    </comment>
    <comment ref="F834" authorId="1" shapeId="0" xr:uid="{84A7C2A2-1FF7-46CE-8854-EE166E80145A}">
      <text>
        <r>
          <rPr>
            <sz val="11"/>
            <color theme="1"/>
            <rFont val="Aptos Narrow"/>
            <family val="2"/>
            <scheme val="minor"/>
          </rPr>
          <t>Monto calculado automáticamente por el sistema</t>
        </r>
      </text>
    </comment>
    <comment ref="A843" authorId="1" shapeId="0" xr:uid="{E0FDAA5C-3AA5-4ED3-8307-1FC11A014694}">
      <text>
        <r>
          <rPr>
            <sz val="11"/>
            <color theme="1"/>
            <rFont val="Aptos Narrow"/>
            <family val="2"/>
            <scheme val="minor"/>
          </rPr>
          <t>Introducir un texto con el nombre o referencia de la contratación</t>
        </r>
      </text>
    </comment>
    <comment ref="B843" authorId="1" shapeId="0" xr:uid="{1F81B1A2-B612-4A9C-816F-F86FF360B902}">
      <text>
        <r>
          <rPr>
            <sz val="11"/>
            <color theme="1"/>
            <rFont val="Aptos Narrow"/>
            <family val="2"/>
            <scheme val="minor"/>
          </rPr>
          <t>Introduzca un texto con la finalidad de la contratación</t>
        </r>
      </text>
    </comment>
    <comment ref="C843" authorId="1" shapeId="0" xr:uid="{0BE6AA60-2222-4608-9341-42FAFA68AC2F}">
      <text>
        <r>
          <rPr>
            <sz val="11"/>
            <color theme="1"/>
            <rFont val="Aptos Narrow"/>
            <family val="2"/>
            <scheme val="minor"/>
          </rPr>
          <t>Seleccionar un valor del listado</t>
        </r>
      </text>
    </comment>
    <comment ref="D843" authorId="1" shapeId="0" xr:uid="{D9A37F7C-0B32-44A4-82DF-EBB00F1F840F}">
      <text>
        <r>
          <rPr>
            <sz val="11"/>
            <color theme="1"/>
            <rFont val="Aptos Narrow"/>
            <family val="2"/>
            <scheme val="minor"/>
          </rPr>
          <t>Seleccione el tipo de procedimiento</t>
        </r>
      </text>
    </comment>
    <comment ref="E843" authorId="1" shapeId="0" xr:uid="{3B095C27-F695-4793-BA35-3A2BD533E5AC}">
      <text>
        <r>
          <rPr>
            <sz val="11"/>
            <color theme="1"/>
            <rFont val="Aptos Narrow"/>
            <family val="2"/>
            <scheme val="minor"/>
          </rPr>
          <t>Seleccione un valor de la lista</t>
        </r>
      </text>
    </comment>
    <comment ref="F843" authorId="1" shapeId="0" xr:uid="{257855E4-F7D9-46BA-BCA7-9AF5985FF539}">
      <text>
        <r>
          <rPr>
            <sz val="11"/>
            <color theme="1"/>
            <rFont val="Aptos Narrow"/>
            <family val="2"/>
            <scheme val="minor"/>
          </rPr>
          <t>Introduzca el código SNIP</t>
        </r>
      </text>
    </comment>
    <comment ref="C844" authorId="1" shapeId="0" xr:uid="{0979A40A-20AC-4915-91CE-5400D5E80F22}">
      <text>
        <r>
          <rPr>
            <sz val="11"/>
            <color theme="1"/>
            <rFont val="Aptos Narrow"/>
            <family val="2"/>
            <scheme val="minor"/>
          </rPr>
          <t>Introduzca la fecha de inicio del proceso, en formato dd-mm-aaaa</t>
        </r>
      </text>
    </comment>
    <comment ref="F844" authorId="1" shapeId="0" xr:uid="{A0E556C1-018B-4D21-8A43-7908CF76B06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45" authorId="1" shapeId="0" xr:uid="{70601AF5-836B-47ED-9CE7-3861FAF9EBAE}">
      <text/>
    </comment>
    <comment ref="C846" authorId="1" shapeId="0" xr:uid="{E53CE450-7647-4DA9-9A7C-387841F80B45}">
      <text>
        <r>
          <rPr>
            <sz val="11"/>
            <color theme="1"/>
            <rFont val="Aptos Narrow"/>
            <family val="2"/>
            <scheme val="minor"/>
          </rPr>
          <t>Introduzca la fecha prevista de adjudicación, en formato dd-mm-aaaa</t>
        </r>
      </text>
    </comment>
    <comment ref="F846" authorId="1" shapeId="0" xr:uid="{F3ED7932-D61B-40EB-B447-CC3CE78143FA}">
      <text/>
    </comment>
    <comment ref="F847" authorId="1" shapeId="0" xr:uid="{46E1D72C-7C2C-4A49-9F05-E8E181E8A30B}">
      <text/>
    </comment>
    <comment ref="A849" authorId="1" shapeId="0" xr:uid="{7EFBBB2A-7EE8-49F4-A8BA-1998B21092F3}">
      <text>
        <r>
          <rPr>
            <sz val="11"/>
            <color theme="1"/>
            <rFont val="Aptos Narrow"/>
            <family val="2"/>
            <scheme val="minor"/>
          </rPr>
          <t>Introduzca un codigo UNSPSC</t>
        </r>
      </text>
    </comment>
    <comment ref="B849" authorId="1" shapeId="0" xr:uid="{A656B770-67AA-41C9-A77E-7C6D23BE7AA6}">
      <text>
        <r>
          <rPr>
            <sz val="11"/>
            <color theme="1"/>
            <rFont val="Aptos Narrow"/>
            <family val="2"/>
            <scheme val="minor"/>
          </rPr>
          <t>Descripción calculada automáticamente a partir de código del artículo</t>
        </r>
      </text>
    </comment>
    <comment ref="C849" authorId="1" shapeId="0" xr:uid="{D1531C46-EDC5-4053-A852-5420108C7721}">
      <text>
        <r>
          <rPr>
            <sz val="11"/>
            <color theme="1"/>
            <rFont val="Aptos Narrow"/>
            <family val="2"/>
            <scheme val="minor"/>
          </rPr>
          <t>Seleccione un valor de la lista</t>
        </r>
      </text>
    </comment>
    <comment ref="D849" authorId="1" shapeId="0" xr:uid="{877F033F-ED5A-4685-96CE-3266B34655C3}">
      <text>
        <r>
          <rPr>
            <sz val="11"/>
            <color theme="1"/>
            <rFont val="Aptos Narrow"/>
            <family val="2"/>
            <scheme val="minor"/>
          </rPr>
          <t>Introduzca un número con dos decimales como máximo. Debe ser igual o mayor a la "Cantidad Real Consumida"</t>
        </r>
      </text>
    </comment>
    <comment ref="E849" authorId="1" shapeId="0" xr:uid="{19C38DC8-500B-47A7-9123-288E1B75F614}">
      <text>
        <r>
          <rPr>
            <sz val="11"/>
            <color theme="1"/>
            <rFont val="Aptos Narrow"/>
            <family val="2"/>
            <scheme val="minor"/>
          </rPr>
          <t>Introduzca un número con dos decimales como máximo</t>
        </r>
      </text>
    </comment>
    <comment ref="F849" authorId="1" shapeId="0" xr:uid="{497AEE7D-4932-490B-8A33-DA148C8A414F}">
      <text>
        <r>
          <rPr>
            <sz val="11"/>
            <color theme="1"/>
            <rFont val="Aptos Narrow"/>
            <family val="2"/>
            <scheme val="minor"/>
          </rPr>
          <t>Monto calculado automáticamente por el sistema</t>
        </r>
      </text>
    </comment>
    <comment ref="A858" authorId="1" shapeId="0" xr:uid="{26E3646C-38E7-496A-BE73-CFBF96A45BD9}">
      <text>
        <r>
          <rPr>
            <sz val="11"/>
            <color theme="1"/>
            <rFont val="Aptos Narrow"/>
            <family val="2"/>
            <scheme val="minor"/>
          </rPr>
          <t>Introducir un texto con el nombre o referencia de la contratación</t>
        </r>
      </text>
    </comment>
    <comment ref="B858" authorId="1" shapeId="0" xr:uid="{C6F5FD36-946B-4530-B4D9-5F5BB34FDED3}">
      <text>
        <r>
          <rPr>
            <sz val="11"/>
            <color theme="1"/>
            <rFont val="Aptos Narrow"/>
            <family val="2"/>
            <scheme val="minor"/>
          </rPr>
          <t>Introduzca un texto con la finalidad de la contratación</t>
        </r>
      </text>
    </comment>
    <comment ref="C858" authorId="1" shapeId="0" xr:uid="{1AEFDE27-5F17-4991-BA1C-FEA47DD06CC5}">
      <text>
        <r>
          <rPr>
            <sz val="11"/>
            <color theme="1"/>
            <rFont val="Aptos Narrow"/>
            <family val="2"/>
            <scheme val="minor"/>
          </rPr>
          <t>Seleccionar un valor del listado</t>
        </r>
      </text>
    </comment>
    <comment ref="D858" authorId="1" shapeId="0" xr:uid="{605D668A-F671-4072-BE76-8DD0120058E3}">
      <text>
        <r>
          <rPr>
            <sz val="11"/>
            <color theme="1"/>
            <rFont val="Aptos Narrow"/>
            <family val="2"/>
            <scheme val="minor"/>
          </rPr>
          <t>Seleccione el tipo de procedimiento</t>
        </r>
      </text>
    </comment>
    <comment ref="E858" authorId="1" shapeId="0" xr:uid="{EED7CB9A-96F8-49F2-83DE-43DC21AE1538}">
      <text>
        <r>
          <rPr>
            <sz val="11"/>
            <color theme="1"/>
            <rFont val="Aptos Narrow"/>
            <family val="2"/>
            <scheme val="minor"/>
          </rPr>
          <t>Seleccione un valor de la lista</t>
        </r>
      </text>
    </comment>
    <comment ref="F858" authorId="1" shapeId="0" xr:uid="{34C12FB6-D135-491E-AFBB-AD5A753790BA}">
      <text>
        <r>
          <rPr>
            <sz val="11"/>
            <color theme="1"/>
            <rFont val="Aptos Narrow"/>
            <family val="2"/>
            <scheme val="minor"/>
          </rPr>
          <t>Introduzca el código SNIP</t>
        </r>
      </text>
    </comment>
    <comment ref="C859" authorId="1" shapeId="0" xr:uid="{A137D117-0C7D-42AE-A9B8-F4BD48C23D9A}">
      <text>
        <r>
          <rPr>
            <sz val="11"/>
            <color theme="1"/>
            <rFont val="Aptos Narrow"/>
            <family val="2"/>
            <scheme val="minor"/>
          </rPr>
          <t>Introduzca la fecha de inicio del proceso, en formato dd-mm-aaaa</t>
        </r>
      </text>
    </comment>
    <comment ref="F859" authorId="1" shapeId="0" xr:uid="{C95E8BA6-A6FA-42D8-98A2-1258098EB94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60" authorId="1" shapeId="0" xr:uid="{EF719396-6115-4E03-BCD7-7B9C6A517228}">
      <text/>
    </comment>
    <comment ref="C861" authorId="1" shapeId="0" xr:uid="{4F41FBE4-377E-4401-9E42-CD2C2A6CB018}">
      <text>
        <r>
          <rPr>
            <sz val="11"/>
            <color theme="1"/>
            <rFont val="Aptos Narrow"/>
            <family val="2"/>
            <scheme val="minor"/>
          </rPr>
          <t>Introduzca la fecha prevista de adjudicación, en formato dd-mm-aaaa</t>
        </r>
      </text>
    </comment>
    <comment ref="F861" authorId="1" shapeId="0" xr:uid="{902D5B9C-F6C2-4619-B418-A042D7A89A08}">
      <text/>
    </comment>
    <comment ref="F862" authorId="1" shapeId="0" xr:uid="{75185BC9-B709-4C11-B16F-3E8304CAD524}">
      <text/>
    </comment>
    <comment ref="A864" authorId="1" shapeId="0" xr:uid="{89159E5A-DEEB-4E1C-8787-0E18D1DDACA0}">
      <text>
        <r>
          <rPr>
            <sz val="11"/>
            <color theme="1"/>
            <rFont val="Aptos Narrow"/>
            <family val="2"/>
            <scheme val="minor"/>
          </rPr>
          <t>Introduzca un codigo UNSPSC</t>
        </r>
      </text>
    </comment>
    <comment ref="B864" authorId="1" shapeId="0" xr:uid="{1FA5C275-2907-4FEE-9680-4D181106FA2A}">
      <text>
        <r>
          <rPr>
            <sz val="11"/>
            <color theme="1"/>
            <rFont val="Aptos Narrow"/>
            <family val="2"/>
            <scheme val="minor"/>
          </rPr>
          <t>Descripción calculada automáticamente a partir de código del artículo</t>
        </r>
      </text>
    </comment>
    <comment ref="C864" authorId="1" shapeId="0" xr:uid="{634F5F96-F747-415D-9E7C-9772D0EE3BF9}">
      <text>
        <r>
          <rPr>
            <sz val="11"/>
            <color theme="1"/>
            <rFont val="Aptos Narrow"/>
            <family val="2"/>
            <scheme val="minor"/>
          </rPr>
          <t>Seleccione un valor de la lista</t>
        </r>
      </text>
    </comment>
    <comment ref="D864" authorId="1" shapeId="0" xr:uid="{B911D190-ACB0-4469-BD3D-67EE04EC4B7B}">
      <text>
        <r>
          <rPr>
            <sz val="11"/>
            <color theme="1"/>
            <rFont val="Aptos Narrow"/>
            <family val="2"/>
            <scheme val="minor"/>
          </rPr>
          <t>Introduzca un número con dos decimales como máximo. Debe ser igual o mayor a la "Cantidad Real Consumida"</t>
        </r>
      </text>
    </comment>
    <comment ref="E864" authorId="1" shapeId="0" xr:uid="{C32B1075-7DA3-4950-AFAC-3C3B8B3ABC61}">
      <text>
        <r>
          <rPr>
            <sz val="11"/>
            <color theme="1"/>
            <rFont val="Aptos Narrow"/>
            <family val="2"/>
            <scheme val="minor"/>
          </rPr>
          <t>Introduzca un número con dos decimales como máximo</t>
        </r>
      </text>
    </comment>
    <comment ref="F864" authorId="1" shapeId="0" xr:uid="{08D5058D-1B1F-4974-8C11-B9D763C2F20E}">
      <text>
        <r>
          <rPr>
            <sz val="11"/>
            <color theme="1"/>
            <rFont val="Aptos Narrow"/>
            <family val="2"/>
            <scheme val="minor"/>
          </rPr>
          <t>Monto calculado automáticamente por el sistema</t>
        </r>
      </text>
    </comment>
    <comment ref="A873" authorId="1" shapeId="0" xr:uid="{BFE6A276-0C39-4DE0-A710-1C7DDB356BF6}">
      <text>
        <r>
          <rPr>
            <sz val="11"/>
            <color theme="1"/>
            <rFont val="Aptos Narrow"/>
            <family val="2"/>
            <scheme val="minor"/>
          </rPr>
          <t>Introducir un texto con el nombre o referencia de la contratación</t>
        </r>
      </text>
    </comment>
    <comment ref="B873" authorId="1" shapeId="0" xr:uid="{607AA2E5-0235-4C60-8237-DED944A15B50}">
      <text>
        <r>
          <rPr>
            <sz val="11"/>
            <color theme="1"/>
            <rFont val="Aptos Narrow"/>
            <family val="2"/>
            <scheme val="minor"/>
          </rPr>
          <t>Introduzca un texto con la finalidad de la contratación</t>
        </r>
      </text>
    </comment>
    <comment ref="C873" authorId="1" shapeId="0" xr:uid="{1767EEC4-3791-49CF-B302-32E62913530D}">
      <text>
        <r>
          <rPr>
            <sz val="11"/>
            <color theme="1"/>
            <rFont val="Aptos Narrow"/>
            <family val="2"/>
            <scheme val="minor"/>
          </rPr>
          <t>Seleccionar un valor del listado</t>
        </r>
      </text>
    </comment>
    <comment ref="D873" authorId="1" shapeId="0" xr:uid="{C8FA0D45-7D9C-40E2-8761-E2AB9E4C9578}">
      <text>
        <r>
          <rPr>
            <sz val="11"/>
            <color theme="1"/>
            <rFont val="Aptos Narrow"/>
            <family val="2"/>
            <scheme val="minor"/>
          </rPr>
          <t>Seleccione el tipo de procedimiento</t>
        </r>
      </text>
    </comment>
    <comment ref="E873" authorId="1" shapeId="0" xr:uid="{45EF3E8F-F66E-4013-934B-7E715925099B}">
      <text>
        <r>
          <rPr>
            <sz val="11"/>
            <color theme="1"/>
            <rFont val="Aptos Narrow"/>
            <family val="2"/>
            <scheme val="minor"/>
          </rPr>
          <t>Seleccione un valor de la lista</t>
        </r>
      </text>
    </comment>
    <comment ref="F873" authorId="1" shapeId="0" xr:uid="{453196D9-AF91-492E-B1AE-E97B7E1EFF32}">
      <text>
        <r>
          <rPr>
            <sz val="11"/>
            <color theme="1"/>
            <rFont val="Aptos Narrow"/>
            <family val="2"/>
            <scheme val="minor"/>
          </rPr>
          <t>Introduzca el código SNIP</t>
        </r>
      </text>
    </comment>
    <comment ref="C874" authorId="1" shapeId="0" xr:uid="{6BB620FD-F864-4F77-88E5-6D6C653ACFDA}">
      <text>
        <r>
          <rPr>
            <sz val="11"/>
            <color theme="1"/>
            <rFont val="Aptos Narrow"/>
            <family val="2"/>
            <scheme val="minor"/>
          </rPr>
          <t>Introduzca la fecha de inicio del proceso, en formato dd-mm-aaaa</t>
        </r>
      </text>
    </comment>
    <comment ref="F874" authorId="1" shapeId="0" xr:uid="{74B2C869-9DE6-4152-A9F4-0DDA30B731D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75" authorId="1" shapeId="0" xr:uid="{BF23EF6A-A808-4550-BE80-F4ACC34A2130}">
      <text/>
    </comment>
    <comment ref="C876" authorId="1" shapeId="0" xr:uid="{4B348344-EC65-44D1-B725-574527002F20}">
      <text>
        <r>
          <rPr>
            <sz val="11"/>
            <color theme="1"/>
            <rFont val="Aptos Narrow"/>
            <family val="2"/>
            <scheme val="minor"/>
          </rPr>
          <t>Introduzca la fecha prevista de adjudicación, en formato dd-mm-aaaa</t>
        </r>
      </text>
    </comment>
    <comment ref="F876" authorId="1" shapeId="0" xr:uid="{5159D1EE-811F-4796-A78A-424F657D2AB0}">
      <text/>
    </comment>
    <comment ref="F877" authorId="1" shapeId="0" xr:uid="{F2A59B9B-90C4-4557-B8F4-44EFFAE7D363}">
      <text/>
    </comment>
    <comment ref="A879" authorId="1" shapeId="0" xr:uid="{01D1CC54-F94F-444E-9116-DE0D82FEBF5F}">
      <text>
        <r>
          <rPr>
            <sz val="11"/>
            <color theme="1"/>
            <rFont val="Aptos Narrow"/>
            <family val="2"/>
            <scheme val="minor"/>
          </rPr>
          <t>Introduzca un codigo UNSPSC</t>
        </r>
      </text>
    </comment>
    <comment ref="B879" authorId="1" shapeId="0" xr:uid="{DC3B8E66-9FB8-4062-88FB-297A9DD3E8D3}">
      <text>
        <r>
          <rPr>
            <sz val="11"/>
            <color theme="1"/>
            <rFont val="Aptos Narrow"/>
            <family val="2"/>
            <scheme val="minor"/>
          </rPr>
          <t>Descripción calculada automáticamente a partir de código del artículo</t>
        </r>
      </text>
    </comment>
    <comment ref="C879" authorId="1" shapeId="0" xr:uid="{15B2428C-9F3D-44E2-8948-CFA07FA59B11}">
      <text>
        <r>
          <rPr>
            <sz val="11"/>
            <color theme="1"/>
            <rFont val="Aptos Narrow"/>
            <family val="2"/>
            <scheme val="minor"/>
          </rPr>
          <t>Seleccione un valor de la lista</t>
        </r>
      </text>
    </comment>
    <comment ref="D879" authorId="1" shapeId="0" xr:uid="{54729EE7-D829-4522-AC25-640DE8FF568B}">
      <text>
        <r>
          <rPr>
            <sz val="11"/>
            <color theme="1"/>
            <rFont val="Aptos Narrow"/>
            <family val="2"/>
            <scheme val="minor"/>
          </rPr>
          <t>Introduzca un número con dos decimales como máximo. Debe ser igual o mayor a la "Cantidad Real Consumida"</t>
        </r>
      </text>
    </comment>
    <comment ref="E879" authorId="1" shapeId="0" xr:uid="{A94FDAA4-8076-4F18-B285-6CC146849C0E}">
      <text>
        <r>
          <rPr>
            <sz val="11"/>
            <color theme="1"/>
            <rFont val="Aptos Narrow"/>
            <family val="2"/>
            <scheme val="minor"/>
          </rPr>
          <t>Introduzca un número con dos decimales como máximo</t>
        </r>
      </text>
    </comment>
    <comment ref="F879" authorId="1" shapeId="0" xr:uid="{91181957-9952-490A-A478-98C374BCA985}">
      <text>
        <r>
          <rPr>
            <sz val="11"/>
            <color theme="1"/>
            <rFont val="Aptos Narrow"/>
            <family val="2"/>
            <scheme val="minor"/>
          </rPr>
          <t>Monto calculado automáticamente por el sistema</t>
        </r>
      </text>
    </comment>
    <comment ref="A888" authorId="1" shapeId="0" xr:uid="{C5D40270-0644-45A2-8909-BA1AD7795B10}">
      <text>
        <r>
          <rPr>
            <sz val="11"/>
            <color theme="1"/>
            <rFont val="Aptos Narrow"/>
            <family val="2"/>
            <scheme val="minor"/>
          </rPr>
          <t>Introducir un texto con el nombre o referencia de la contratación</t>
        </r>
      </text>
    </comment>
    <comment ref="B888" authorId="1" shapeId="0" xr:uid="{EDC4CA73-DA26-4BE0-B4B4-56C205E2649E}">
      <text>
        <r>
          <rPr>
            <sz val="11"/>
            <color theme="1"/>
            <rFont val="Aptos Narrow"/>
            <family val="2"/>
            <scheme val="minor"/>
          </rPr>
          <t>Introduzca un texto con la finalidad de la contratación</t>
        </r>
      </text>
    </comment>
    <comment ref="C888" authorId="1" shapeId="0" xr:uid="{DCD1F012-E926-4A5B-BEA3-6C02D801740F}">
      <text>
        <r>
          <rPr>
            <sz val="11"/>
            <color theme="1"/>
            <rFont val="Aptos Narrow"/>
            <family val="2"/>
            <scheme val="minor"/>
          </rPr>
          <t>Seleccionar un valor del listado</t>
        </r>
      </text>
    </comment>
    <comment ref="D888" authorId="1" shapeId="0" xr:uid="{93F83F99-58DD-4620-9BED-448BAFAF70A0}">
      <text>
        <r>
          <rPr>
            <sz val="11"/>
            <color theme="1"/>
            <rFont val="Aptos Narrow"/>
            <family val="2"/>
            <scheme val="minor"/>
          </rPr>
          <t>Seleccione el tipo de procedimiento</t>
        </r>
      </text>
    </comment>
    <comment ref="E888" authorId="1" shapeId="0" xr:uid="{5C7FC1EA-3A79-49E6-8C2E-24A4F2B7FA40}">
      <text>
        <r>
          <rPr>
            <sz val="11"/>
            <color theme="1"/>
            <rFont val="Aptos Narrow"/>
            <family val="2"/>
            <scheme val="minor"/>
          </rPr>
          <t>Seleccione un valor de la lista</t>
        </r>
      </text>
    </comment>
    <comment ref="F888" authorId="1" shapeId="0" xr:uid="{2D842162-3610-4510-8CF0-010D47BF2EAA}">
      <text>
        <r>
          <rPr>
            <sz val="11"/>
            <color theme="1"/>
            <rFont val="Aptos Narrow"/>
            <family val="2"/>
            <scheme val="minor"/>
          </rPr>
          <t>Introduzca el código SNIP</t>
        </r>
      </text>
    </comment>
    <comment ref="C889" authorId="1" shapeId="0" xr:uid="{ABBF5C59-84FF-43D3-A78E-7DCB3099FFBF}">
      <text>
        <r>
          <rPr>
            <sz val="11"/>
            <color theme="1"/>
            <rFont val="Aptos Narrow"/>
            <family val="2"/>
            <scheme val="minor"/>
          </rPr>
          <t>Introduzca la fecha de inicio del proceso, en formato dd-mm-aaaa</t>
        </r>
      </text>
    </comment>
    <comment ref="F889" authorId="1" shapeId="0" xr:uid="{39F0FE4C-32ED-4B70-BE9A-ACE1FE28301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90" authorId="1" shapeId="0" xr:uid="{DE1C432C-F6A4-4410-BE02-C027E8E2EE47}">
      <text/>
    </comment>
    <comment ref="C891" authorId="1" shapeId="0" xr:uid="{1AE54793-6106-4F98-8792-51EDA905C929}">
      <text>
        <r>
          <rPr>
            <sz val="11"/>
            <color theme="1"/>
            <rFont val="Aptos Narrow"/>
            <family val="2"/>
            <scheme val="minor"/>
          </rPr>
          <t>Introduzca la fecha prevista de adjudicación, en formato dd-mm-aaaa</t>
        </r>
      </text>
    </comment>
    <comment ref="F891" authorId="1" shapeId="0" xr:uid="{3FFB8181-876B-481A-9B92-BDF10AF9FCF1}">
      <text/>
    </comment>
    <comment ref="F892" authorId="1" shapeId="0" xr:uid="{9E914EB4-BFF8-4509-86AE-15FE509E0F76}">
      <text/>
    </comment>
    <comment ref="A894" authorId="1" shapeId="0" xr:uid="{32029A04-FE4B-4079-ADBE-E8697F57B7A1}">
      <text>
        <r>
          <rPr>
            <sz val="11"/>
            <color theme="1"/>
            <rFont val="Aptos Narrow"/>
            <family val="2"/>
            <scheme val="minor"/>
          </rPr>
          <t>Introduzca un codigo UNSPSC</t>
        </r>
      </text>
    </comment>
    <comment ref="B894" authorId="1" shapeId="0" xr:uid="{B55B0674-F765-4E0D-9BEF-1DB56CD238B8}">
      <text>
        <r>
          <rPr>
            <sz val="11"/>
            <color theme="1"/>
            <rFont val="Aptos Narrow"/>
            <family val="2"/>
            <scheme val="minor"/>
          </rPr>
          <t>Descripción calculada automáticamente a partir de código del artículo</t>
        </r>
      </text>
    </comment>
    <comment ref="C894" authorId="1" shapeId="0" xr:uid="{630384B5-2D06-4330-96AD-1723F88B3C16}">
      <text>
        <r>
          <rPr>
            <sz val="11"/>
            <color theme="1"/>
            <rFont val="Aptos Narrow"/>
            <family val="2"/>
            <scheme val="minor"/>
          </rPr>
          <t>Seleccione un valor de la lista</t>
        </r>
      </text>
    </comment>
    <comment ref="D894" authorId="1" shapeId="0" xr:uid="{3032869C-3DD2-4720-B5B2-C178F7920EE4}">
      <text>
        <r>
          <rPr>
            <sz val="11"/>
            <color theme="1"/>
            <rFont val="Aptos Narrow"/>
            <family val="2"/>
            <scheme val="minor"/>
          </rPr>
          <t>Introduzca un número con dos decimales como máximo. Debe ser igual o mayor a la "Cantidad Real Consumida"</t>
        </r>
      </text>
    </comment>
    <comment ref="E894" authorId="1" shapeId="0" xr:uid="{5CE6F94A-43C4-4465-9AF9-08A2F663E8D0}">
      <text>
        <r>
          <rPr>
            <sz val="11"/>
            <color theme="1"/>
            <rFont val="Aptos Narrow"/>
            <family val="2"/>
            <scheme val="minor"/>
          </rPr>
          <t>Introduzca un número con dos decimales como máximo</t>
        </r>
      </text>
    </comment>
    <comment ref="F894" authorId="1" shapeId="0" xr:uid="{BEE9431C-123C-4AAE-87AF-4D2E26051FF4}">
      <text>
        <r>
          <rPr>
            <sz val="11"/>
            <color theme="1"/>
            <rFont val="Aptos Narrow"/>
            <family val="2"/>
            <scheme val="minor"/>
          </rPr>
          <t>Monto calculado automáticamente por el sistema</t>
        </r>
      </text>
    </comment>
    <comment ref="A903" authorId="1" shapeId="0" xr:uid="{01FC8C0C-7789-45B6-B7F6-DC37A8CE26D9}">
      <text>
        <r>
          <rPr>
            <sz val="11"/>
            <color theme="1"/>
            <rFont val="Aptos Narrow"/>
            <family val="2"/>
            <scheme val="minor"/>
          </rPr>
          <t>Introducir un texto con el nombre o referencia de la contratación</t>
        </r>
      </text>
    </comment>
    <comment ref="B903" authorId="1" shapeId="0" xr:uid="{9F1B9CB0-0F83-4747-9ACF-C3C846FDB923}">
      <text>
        <r>
          <rPr>
            <sz val="11"/>
            <color theme="1"/>
            <rFont val="Aptos Narrow"/>
            <family val="2"/>
            <scheme val="minor"/>
          </rPr>
          <t>Introduzca un texto con la finalidad de la contratación</t>
        </r>
      </text>
    </comment>
    <comment ref="C903" authorId="1" shapeId="0" xr:uid="{EAC7DBB9-59FC-4E69-BA0A-D54BE38CAAD4}">
      <text>
        <r>
          <rPr>
            <sz val="11"/>
            <color theme="1"/>
            <rFont val="Aptos Narrow"/>
            <family val="2"/>
            <scheme val="minor"/>
          </rPr>
          <t>Seleccionar un valor del listado</t>
        </r>
      </text>
    </comment>
    <comment ref="D903" authorId="1" shapeId="0" xr:uid="{315FFBC9-24CC-464D-919A-E9742AA84A12}">
      <text>
        <r>
          <rPr>
            <sz val="11"/>
            <color theme="1"/>
            <rFont val="Aptos Narrow"/>
            <family val="2"/>
            <scheme val="minor"/>
          </rPr>
          <t>Seleccione el tipo de procedimiento</t>
        </r>
      </text>
    </comment>
    <comment ref="E903" authorId="1" shapeId="0" xr:uid="{0D113D09-7DEC-4EC1-B00D-DBD933156C8C}">
      <text>
        <r>
          <rPr>
            <sz val="11"/>
            <color theme="1"/>
            <rFont val="Aptos Narrow"/>
            <family val="2"/>
            <scheme val="minor"/>
          </rPr>
          <t>Seleccione un valor de la lista</t>
        </r>
      </text>
    </comment>
    <comment ref="F903" authorId="1" shapeId="0" xr:uid="{2D86E92F-EF1F-4CD2-88D9-9B18AEA4DD87}">
      <text>
        <r>
          <rPr>
            <sz val="11"/>
            <color theme="1"/>
            <rFont val="Aptos Narrow"/>
            <family val="2"/>
            <scheme val="minor"/>
          </rPr>
          <t>Introduzca el código SNIP</t>
        </r>
      </text>
    </comment>
    <comment ref="C904" authorId="1" shapeId="0" xr:uid="{C38DDB85-01A2-4036-8F68-A631487FEC8B}">
      <text>
        <r>
          <rPr>
            <sz val="11"/>
            <color theme="1"/>
            <rFont val="Aptos Narrow"/>
            <family val="2"/>
            <scheme val="minor"/>
          </rPr>
          <t>Introduzca la fecha de inicio del proceso, en formato dd-mm-aaaa</t>
        </r>
      </text>
    </comment>
    <comment ref="F904" authorId="1" shapeId="0" xr:uid="{95B6F78C-BFD2-49F5-922D-0DEBD101D76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05" authorId="1" shapeId="0" xr:uid="{5D97B819-3151-4E6C-A203-77CCA156767D}">
      <text/>
    </comment>
    <comment ref="C906" authorId="1" shapeId="0" xr:uid="{70F70E36-A7F2-4B6B-B1D1-717D6F1CBD78}">
      <text>
        <r>
          <rPr>
            <sz val="11"/>
            <color theme="1"/>
            <rFont val="Aptos Narrow"/>
            <family val="2"/>
            <scheme val="minor"/>
          </rPr>
          <t>Introduzca la fecha prevista de adjudicación, en formato dd-mm-aaaa</t>
        </r>
      </text>
    </comment>
    <comment ref="F906" authorId="1" shapeId="0" xr:uid="{C9726D9B-C5C3-4598-A705-4126D2674477}">
      <text/>
    </comment>
    <comment ref="F907" authorId="1" shapeId="0" xr:uid="{DBFD8AFD-2AE2-4FD1-8480-5F2945C7AFBD}">
      <text/>
    </comment>
    <comment ref="A909" authorId="1" shapeId="0" xr:uid="{C1594308-CC39-480C-92B9-0EC727284A5F}">
      <text>
        <r>
          <rPr>
            <sz val="11"/>
            <color theme="1"/>
            <rFont val="Aptos Narrow"/>
            <family val="2"/>
            <scheme val="minor"/>
          </rPr>
          <t>Introduzca un codigo UNSPSC</t>
        </r>
      </text>
    </comment>
    <comment ref="B909" authorId="1" shapeId="0" xr:uid="{671EED35-D750-46A0-A2B0-04824C44A603}">
      <text>
        <r>
          <rPr>
            <sz val="11"/>
            <color theme="1"/>
            <rFont val="Aptos Narrow"/>
            <family val="2"/>
            <scheme val="minor"/>
          </rPr>
          <t>Descripción calculada automáticamente a partir de código del artículo</t>
        </r>
      </text>
    </comment>
    <comment ref="C909" authorId="1" shapeId="0" xr:uid="{5CED13C3-0C7F-4219-AD3C-402C4F9D4E74}">
      <text>
        <r>
          <rPr>
            <sz val="11"/>
            <color theme="1"/>
            <rFont val="Aptos Narrow"/>
            <family val="2"/>
            <scheme val="minor"/>
          </rPr>
          <t>Seleccione un valor de la lista</t>
        </r>
      </text>
    </comment>
    <comment ref="D909" authorId="1" shapeId="0" xr:uid="{3CC87FCB-AD2D-4251-9934-5E8B66F31FC6}">
      <text>
        <r>
          <rPr>
            <sz val="11"/>
            <color theme="1"/>
            <rFont val="Aptos Narrow"/>
            <family val="2"/>
            <scheme val="minor"/>
          </rPr>
          <t>Introduzca un número con dos decimales como máximo. Debe ser igual o mayor a la "Cantidad Real Consumida"</t>
        </r>
      </text>
    </comment>
    <comment ref="E909" authorId="1" shapeId="0" xr:uid="{529F9AD4-3495-4B44-8566-92BBE06350B3}">
      <text>
        <r>
          <rPr>
            <sz val="11"/>
            <color theme="1"/>
            <rFont val="Aptos Narrow"/>
            <family val="2"/>
            <scheme val="minor"/>
          </rPr>
          <t>Introduzca un número con dos decimales como máximo</t>
        </r>
      </text>
    </comment>
    <comment ref="F909" authorId="1" shapeId="0" xr:uid="{EFE7667A-7BA6-4586-A2DE-26DCE6754F2A}">
      <text>
        <r>
          <rPr>
            <sz val="11"/>
            <color theme="1"/>
            <rFont val="Aptos Narrow"/>
            <family val="2"/>
            <scheme val="minor"/>
          </rPr>
          <t>Monto calculado automáticamente por el sistema</t>
        </r>
      </text>
    </comment>
    <comment ref="A918" authorId="1" shapeId="0" xr:uid="{DBEDAE58-AD32-46B6-808E-4A0901696E16}">
      <text>
        <r>
          <rPr>
            <sz val="11"/>
            <color theme="1"/>
            <rFont val="Aptos Narrow"/>
            <family val="2"/>
            <scheme val="minor"/>
          </rPr>
          <t>Introducir un texto con el nombre o referencia de la contratación</t>
        </r>
      </text>
    </comment>
    <comment ref="B918" authorId="1" shapeId="0" xr:uid="{ABB95726-EB48-46A8-ADA7-C90F3DC08928}">
      <text>
        <r>
          <rPr>
            <sz val="11"/>
            <color theme="1"/>
            <rFont val="Aptos Narrow"/>
            <family val="2"/>
            <scheme val="minor"/>
          </rPr>
          <t>Introduzca un texto con la finalidad de la contratación</t>
        </r>
      </text>
    </comment>
    <comment ref="C918" authorId="1" shapeId="0" xr:uid="{6658066D-9381-47D4-8D7C-B71BFF7AE8FB}">
      <text>
        <r>
          <rPr>
            <sz val="11"/>
            <color theme="1"/>
            <rFont val="Aptos Narrow"/>
            <family val="2"/>
            <scheme val="minor"/>
          </rPr>
          <t>Seleccionar un valor del listado</t>
        </r>
      </text>
    </comment>
    <comment ref="D918" authorId="1" shapeId="0" xr:uid="{5484E412-E3E3-4255-81A2-1C91AA5E54D6}">
      <text>
        <r>
          <rPr>
            <sz val="11"/>
            <color theme="1"/>
            <rFont val="Aptos Narrow"/>
            <family val="2"/>
            <scheme val="minor"/>
          </rPr>
          <t>Seleccione el tipo de procedimiento</t>
        </r>
      </text>
    </comment>
    <comment ref="E918" authorId="1" shapeId="0" xr:uid="{A7DFCB11-3B2C-4959-A799-A0009BCA6376}">
      <text>
        <r>
          <rPr>
            <sz val="11"/>
            <color theme="1"/>
            <rFont val="Aptos Narrow"/>
            <family val="2"/>
            <scheme val="minor"/>
          </rPr>
          <t>Seleccione un valor de la lista</t>
        </r>
      </text>
    </comment>
    <comment ref="F918" authorId="1" shapeId="0" xr:uid="{596BDEA5-1B4C-47BB-AD53-1AB78DF24659}">
      <text>
        <r>
          <rPr>
            <sz val="11"/>
            <color theme="1"/>
            <rFont val="Aptos Narrow"/>
            <family val="2"/>
            <scheme val="minor"/>
          </rPr>
          <t>Introduzca el código SNIP</t>
        </r>
      </text>
    </comment>
    <comment ref="C919" authorId="1" shapeId="0" xr:uid="{012452C1-AB1A-4DCE-ADF5-AD723A633BDC}">
      <text>
        <r>
          <rPr>
            <sz val="11"/>
            <color theme="1"/>
            <rFont val="Aptos Narrow"/>
            <family val="2"/>
            <scheme val="minor"/>
          </rPr>
          <t>Introduzca la fecha de inicio del proceso, en formato dd-mm-aaaa</t>
        </r>
      </text>
    </comment>
    <comment ref="F919" authorId="1" shapeId="0" xr:uid="{F55F69FC-7410-4132-A828-0B3024508B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20" authorId="1" shapeId="0" xr:uid="{DFBEA7F9-70CC-47CF-8225-73485591DEC6}">
      <text/>
    </comment>
    <comment ref="C921" authorId="1" shapeId="0" xr:uid="{5A2A042E-97AA-4D8E-8D97-77BB78104180}">
      <text>
        <r>
          <rPr>
            <sz val="11"/>
            <color theme="1"/>
            <rFont val="Aptos Narrow"/>
            <family val="2"/>
            <scheme val="minor"/>
          </rPr>
          <t>Introduzca la fecha prevista de adjudicación, en formato dd-mm-aaaa</t>
        </r>
      </text>
    </comment>
    <comment ref="F921" authorId="1" shapeId="0" xr:uid="{0E85C437-7A84-4B9D-80F0-2E93C97E4A75}">
      <text/>
    </comment>
    <comment ref="F922" authorId="1" shapeId="0" xr:uid="{95B3BFC9-2DC1-44DC-9BDC-3B5517ED2E36}">
      <text/>
    </comment>
    <comment ref="A924" authorId="1" shapeId="0" xr:uid="{8EBC7DD1-D7B8-4BB4-B1A6-A553FC7456F6}">
      <text>
        <r>
          <rPr>
            <sz val="11"/>
            <color theme="1"/>
            <rFont val="Aptos Narrow"/>
            <family val="2"/>
            <scheme val="minor"/>
          </rPr>
          <t>Introduzca un codigo UNSPSC</t>
        </r>
      </text>
    </comment>
    <comment ref="B924" authorId="1" shapeId="0" xr:uid="{850F2552-8D71-477C-8CC4-FADF93A0C130}">
      <text>
        <r>
          <rPr>
            <sz val="11"/>
            <color theme="1"/>
            <rFont val="Aptos Narrow"/>
            <family val="2"/>
            <scheme val="minor"/>
          </rPr>
          <t>Descripción calculada automáticamente a partir de código del artículo</t>
        </r>
      </text>
    </comment>
    <comment ref="C924" authorId="1" shapeId="0" xr:uid="{E9241846-BAE7-4514-BC3C-0C148DEC8568}">
      <text>
        <r>
          <rPr>
            <sz val="11"/>
            <color theme="1"/>
            <rFont val="Aptos Narrow"/>
            <family val="2"/>
            <scheme val="minor"/>
          </rPr>
          <t>Seleccione un valor de la lista</t>
        </r>
      </text>
    </comment>
    <comment ref="D924" authorId="1" shapeId="0" xr:uid="{8732EC1B-748F-418D-9D4C-03FF5A55C0B9}">
      <text>
        <r>
          <rPr>
            <sz val="11"/>
            <color theme="1"/>
            <rFont val="Aptos Narrow"/>
            <family val="2"/>
            <scheme val="minor"/>
          </rPr>
          <t>Introduzca un número con dos decimales como máximo. Debe ser igual o mayor a la "Cantidad Real Consumida"</t>
        </r>
      </text>
    </comment>
    <comment ref="E924" authorId="1" shapeId="0" xr:uid="{1095EA2C-EEAF-4484-AC43-8631A1DFCEE4}">
      <text>
        <r>
          <rPr>
            <sz val="11"/>
            <color theme="1"/>
            <rFont val="Aptos Narrow"/>
            <family val="2"/>
            <scheme val="minor"/>
          </rPr>
          <t>Introduzca un número con dos decimales como máximo</t>
        </r>
      </text>
    </comment>
    <comment ref="F924" authorId="1" shapeId="0" xr:uid="{E2256F17-B30E-4D42-A3A5-BD3CDFC0A4EF}">
      <text>
        <r>
          <rPr>
            <sz val="11"/>
            <color theme="1"/>
            <rFont val="Aptos Narrow"/>
            <family val="2"/>
            <scheme val="minor"/>
          </rPr>
          <t>Monto calculado automáticamente por el sistema</t>
        </r>
      </text>
    </comment>
    <comment ref="A933" authorId="1" shapeId="0" xr:uid="{06A08C00-1863-44BE-BD64-3066F713335E}">
      <text>
        <r>
          <rPr>
            <sz val="11"/>
            <color theme="1"/>
            <rFont val="Aptos Narrow"/>
            <family val="2"/>
            <scheme val="minor"/>
          </rPr>
          <t>Introducir un texto con el nombre o referencia de la contratación</t>
        </r>
      </text>
    </comment>
    <comment ref="B933" authorId="1" shapeId="0" xr:uid="{51DFBF3D-D4E0-4F4D-90BD-52B5094C55A8}">
      <text>
        <r>
          <rPr>
            <sz val="11"/>
            <color theme="1"/>
            <rFont val="Aptos Narrow"/>
            <family val="2"/>
            <scheme val="minor"/>
          </rPr>
          <t>Introduzca un texto con la finalidad de la contratación</t>
        </r>
      </text>
    </comment>
    <comment ref="C933" authorId="1" shapeId="0" xr:uid="{DDFE5680-C5A4-42A8-B7F4-F78A708A2B72}">
      <text>
        <r>
          <rPr>
            <sz val="11"/>
            <color theme="1"/>
            <rFont val="Aptos Narrow"/>
            <family val="2"/>
            <scheme val="minor"/>
          </rPr>
          <t>Seleccionar un valor del listado</t>
        </r>
      </text>
    </comment>
    <comment ref="D933" authorId="1" shapeId="0" xr:uid="{36DC60B0-273C-4D37-B951-1E93FAC573EE}">
      <text>
        <r>
          <rPr>
            <sz val="11"/>
            <color theme="1"/>
            <rFont val="Aptos Narrow"/>
            <family val="2"/>
            <scheme val="minor"/>
          </rPr>
          <t>Seleccione el tipo de procedimiento</t>
        </r>
      </text>
    </comment>
    <comment ref="E933" authorId="1" shapeId="0" xr:uid="{97D85151-B7F3-4BE9-A523-B0E4E791D99D}">
      <text>
        <r>
          <rPr>
            <sz val="11"/>
            <color theme="1"/>
            <rFont val="Aptos Narrow"/>
            <family val="2"/>
            <scheme val="minor"/>
          </rPr>
          <t>Seleccione un valor de la lista</t>
        </r>
      </text>
    </comment>
    <comment ref="F933" authorId="1" shapeId="0" xr:uid="{E7F8B149-3074-4F8B-81C9-152BC50E21E0}">
      <text>
        <r>
          <rPr>
            <sz val="11"/>
            <color theme="1"/>
            <rFont val="Aptos Narrow"/>
            <family val="2"/>
            <scheme val="minor"/>
          </rPr>
          <t>Introduzca el código SNIP</t>
        </r>
      </text>
    </comment>
    <comment ref="C934" authorId="1" shapeId="0" xr:uid="{FD6B4445-B50B-4ABE-B44C-0977F4CD4252}">
      <text>
        <r>
          <rPr>
            <sz val="11"/>
            <color theme="1"/>
            <rFont val="Aptos Narrow"/>
            <family val="2"/>
            <scheme val="minor"/>
          </rPr>
          <t>Introduzca la fecha de inicio del proceso, en formato dd-mm-aaaa</t>
        </r>
      </text>
    </comment>
    <comment ref="F934" authorId="1" shapeId="0" xr:uid="{C198C690-A787-4A88-9D1A-4CB7DB67A48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35" authorId="1" shapeId="0" xr:uid="{AADD318F-7025-4D80-BBBD-D93C1AF51C64}">
      <text/>
    </comment>
    <comment ref="C936" authorId="1" shapeId="0" xr:uid="{2288C4EB-BED0-41ED-989E-7242E99DB605}">
      <text>
        <r>
          <rPr>
            <sz val="11"/>
            <color theme="1"/>
            <rFont val="Aptos Narrow"/>
            <family val="2"/>
            <scheme val="minor"/>
          </rPr>
          <t>Introduzca la fecha prevista de adjudicación, en formato dd-mm-aaaa</t>
        </r>
      </text>
    </comment>
    <comment ref="F936" authorId="1" shapeId="0" xr:uid="{4CEA00F4-50B8-4C57-9BCB-F1B465AD0115}">
      <text/>
    </comment>
    <comment ref="F937" authorId="1" shapeId="0" xr:uid="{4A8C2917-0828-4BE0-9499-FAB51796210A}">
      <text/>
    </comment>
    <comment ref="A939" authorId="1" shapeId="0" xr:uid="{B29FF026-8615-45C6-911D-9145D07A15E4}">
      <text>
        <r>
          <rPr>
            <sz val="11"/>
            <color theme="1"/>
            <rFont val="Aptos Narrow"/>
            <family val="2"/>
            <scheme val="minor"/>
          </rPr>
          <t>Introduzca un codigo UNSPSC</t>
        </r>
      </text>
    </comment>
    <comment ref="B939" authorId="1" shapeId="0" xr:uid="{41AD2301-B369-4DD2-BA8C-5A443984EB02}">
      <text>
        <r>
          <rPr>
            <sz val="11"/>
            <color theme="1"/>
            <rFont val="Aptos Narrow"/>
            <family val="2"/>
            <scheme val="minor"/>
          </rPr>
          <t>Descripción calculada automáticamente a partir de código del artículo</t>
        </r>
      </text>
    </comment>
    <comment ref="C939" authorId="1" shapeId="0" xr:uid="{1B6B3753-5C74-4BC3-9AB2-10E7616B3F8E}">
      <text>
        <r>
          <rPr>
            <sz val="11"/>
            <color theme="1"/>
            <rFont val="Aptos Narrow"/>
            <family val="2"/>
            <scheme val="minor"/>
          </rPr>
          <t>Seleccione un valor de la lista</t>
        </r>
      </text>
    </comment>
    <comment ref="D939" authorId="1" shapeId="0" xr:uid="{4CD10466-A6FF-4271-AC97-B534B9923EB8}">
      <text>
        <r>
          <rPr>
            <sz val="11"/>
            <color theme="1"/>
            <rFont val="Aptos Narrow"/>
            <family val="2"/>
            <scheme val="minor"/>
          </rPr>
          <t>Introduzca un número con dos decimales como máximo. Debe ser igual o mayor a la "Cantidad Real Consumida"</t>
        </r>
      </text>
    </comment>
    <comment ref="E939" authorId="1" shapeId="0" xr:uid="{3C0F0B74-0B9D-42FC-9F14-628A07B2F99E}">
      <text>
        <r>
          <rPr>
            <sz val="11"/>
            <color theme="1"/>
            <rFont val="Aptos Narrow"/>
            <family val="2"/>
            <scheme val="minor"/>
          </rPr>
          <t>Introduzca un número con dos decimales como máximo</t>
        </r>
      </text>
    </comment>
    <comment ref="F939" authorId="1" shapeId="0" xr:uid="{30D8DD06-51FF-4BB7-AEEF-D0851944588E}">
      <text>
        <r>
          <rPr>
            <sz val="11"/>
            <color theme="1"/>
            <rFont val="Aptos Narrow"/>
            <family val="2"/>
            <scheme val="minor"/>
          </rPr>
          <t>Monto calculado automáticamente por el sistema</t>
        </r>
      </text>
    </comment>
    <comment ref="A948" authorId="1" shapeId="0" xr:uid="{8C5571D1-F03A-4A9D-B870-438405426E70}">
      <text>
        <r>
          <rPr>
            <sz val="11"/>
            <color theme="1"/>
            <rFont val="Aptos Narrow"/>
            <family val="2"/>
            <scheme val="minor"/>
          </rPr>
          <t>Introducir un texto con el nombre o referencia de la contratación</t>
        </r>
      </text>
    </comment>
    <comment ref="B948" authorId="1" shapeId="0" xr:uid="{A782D2F8-928F-4613-9DA1-A7849B645E6C}">
      <text>
        <r>
          <rPr>
            <sz val="11"/>
            <color theme="1"/>
            <rFont val="Aptos Narrow"/>
            <family val="2"/>
            <scheme val="minor"/>
          </rPr>
          <t>Introduzca un texto con la finalidad de la contratación</t>
        </r>
      </text>
    </comment>
    <comment ref="C948" authorId="1" shapeId="0" xr:uid="{F81FA1E4-11F4-4690-A85C-777DF96BD28E}">
      <text>
        <r>
          <rPr>
            <sz val="11"/>
            <color theme="1"/>
            <rFont val="Aptos Narrow"/>
            <family val="2"/>
            <scheme val="minor"/>
          </rPr>
          <t>Seleccionar un valor del listado</t>
        </r>
      </text>
    </comment>
    <comment ref="D948" authorId="1" shapeId="0" xr:uid="{BD85523C-2088-4B6C-B965-FE5A297ABD8F}">
      <text>
        <r>
          <rPr>
            <sz val="11"/>
            <color theme="1"/>
            <rFont val="Aptos Narrow"/>
            <family val="2"/>
            <scheme val="minor"/>
          </rPr>
          <t>Seleccione el tipo de procedimiento</t>
        </r>
      </text>
    </comment>
    <comment ref="E948" authorId="1" shapeId="0" xr:uid="{C2BEF2C8-D72D-40BC-948D-128B7E916321}">
      <text>
        <r>
          <rPr>
            <sz val="11"/>
            <color theme="1"/>
            <rFont val="Aptos Narrow"/>
            <family val="2"/>
            <scheme val="minor"/>
          </rPr>
          <t>Seleccione un valor de la lista</t>
        </r>
      </text>
    </comment>
    <comment ref="F948" authorId="1" shapeId="0" xr:uid="{FBC3AD9A-3EC8-4F10-80C2-BB5889C9C9C0}">
      <text>
        <r>
          <rPr>
            <sz val="11"/>
            <color theme="1"/>
            <rFont val="Aptos Narrow"/>
            <family val="2"/>
            <scheme val="minor"/>
          </rPr>
          <t>Introduzca el código SNIP</t>
        </r>
      </text>
    </comment>
    <comment ref="C949" authorId="1" shapeId="0" xr:uid="{0116EB29-41DE-4A08-BCF3-BEC30D33BD9B}">
      <text>
        <r>
          <rPr>
            <sz val="11"/>
            <color theme="1"/>
            <rFont val="Aptos Narrow"/>
            <family val="2"/>
            <scheme val="minor"/>
          </rPr>
          <t>Introduzca la fecha de inicio del proceso, en formato dd-mm-aaaa</t>
        </r>
      </text>
    </comment>
    <comment ref="F949" authorId="1" shapeId="0" xr:uid="{7100089B-BE77-4F34-B967-DDA00332AB0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50" authorId="1" shapeId="0" xr:uid="{2AC05141-9BDF-4C2F-87C2-CC6458450B9C}">
      <text/>
    </comment>
    <comment ref="C951" authorId="1" shapeId="0" xr:uid="{1A516E64-EA1E-4F75-BE03-DE3CCE644D19}">
      <text>
        <r>
          <rPr>
            <sz val="11"/>
            <color theme="1"/>
            <rFont val="Aptos Narrow"/>
            <family val="2"/>
            <scheme val="minor"/>
          </rPr>
          <t>Introduzca la fecha prevista de adjudicación, en formato dd-mm-aaaa</t>
        </r>
      </text>
    </comment>
    <comment ref="F951" authorId="1" shapeId="0" xr:uid="{91EEEA74-5087-4ABA-AD78-CAA1EF6F6808}">
      <text/>
    </comment>
    <comment ref="F952" authorId="1" shapeId="0" xr:uid="{62B23242-20B1-41C5-9FFB-C2C3E930F052}">
      <text/>
    </comment>
    <comment ref="A954" authorId="1" shapeId="0" xr:uid="{9F21FA45-B61E-4369-99F3-1CBFA92E49AE}">
      <text>
        <r>
          <rPr>
            <sz val="11"/>
            <color theme="1"/>
            <rFont val="Aptos Narrow"/>
            <family val="2"/>
            <scheme val="minor"/>
          </rPr>
          <t>Introduzca un codigo UNSPSC</t>
        </r>
      </text>
    </comment>
    <comment ref="B954" authorId="1" shapeId="0" xr:uid="{3FFDFCFB-E13E-4D22-BC7E-AC5EDA09B1D0}">
      <text>
        <r>
          <rPr>
            <sz val="11"/>
            <color theme="1"/>
            <rFont val="Aptos Narrow"/>
            <family val="2"/>
            <scheme val="minor"/>
          </rPr>
          <t>Descripción calculada automáticamente a partir de código del artículo</t>
        </r>
      </text>
    </comment>
    <comment ref="C954" authorId="1" shapeId="0" xr:uid="{1281ABE5-99FA-4FD0-8D94-EF60B2BADE91}">
      <text>
        <r>
          <rPr>
            <sz val="11"/>
            <color theme="1"/>
            <rFont val="Aptos Narrow"/>
            <family val="2"/>
            <scheme val="minor"/>
          </rPr>
          <t>Seleccione un valor de la lista</t>
        </r>
      </text>
    </comment>
    <comment ref="D954" authorId="1" shapeId="0" xr:uid="{40FD9EEE-780F-4E3D-9EA9-70BAFA799D48}">
      <text>
        <r>
          <rPr>
            <sz val="11"/>
            <color theme="1"/>
            <rFont val="Aptos Narrow"/>
            <family val="2"/>
            <scheme val="minor"/>
          </rPr>
          <t>Introduzca un número con dos decimales como máximo. Debe ser igual o mayor a la "Cantidad Real Consumida"</t>
        </r>
      </text>
    </comment>
    <comment ref="E954" authorId="1" shapeId="0" xr:uid="{CC9F34EF-7E6F-4802-885B-6C28E9D974CE}">
      <text>
        <r>
          <rPr>
            <sz val="11"/>
            <color theme="1"/>
            <rFont val="Aptos Narrow"/>
            <family val="2"/>
            <scheme val="minor"/>
          </rPr>
          <t>Introduzca un número con dos decimales como máximo</t>
        </r>
      </text>
    </comment>
    <comment ref="F954" authorId="1" shapeId="0" xr:uid="{FA245AA8-FF00-4F92-9440-0882CB0967B7}">
      <text>
        <r>
          <rPr>
            <sz val="11"/>
            <color theme="1"/>
            <rFont val="Aptos Narrow"/>
            <family val="2"/>
            <scheme val="minor"/>
          </rPr>
          <t>Monto calculado automáticamente por el sistema</t>
        </r>
      </text>
    </comment>
    <comment ref="A992" authorId="1" shapeId="0" xr:uid="{2A0823D4-708A-4F4E-B4A5-712DDFDD3A03}">
      <text>
        <r>
          <rPr>
            <sz val="11"/>
            <color theme="1"/>
            <rFont val="Aptos Narrow"/>
            <family val="2"/>
            <scheme val="minor"/>
          </rPr>
          <t>Introducir un texto con el nombre o referencia de la contratación</t>
        </r>
      </text>
    </comment>
    <comment ref="B992" authorId="1" shapeId="0" xr:uid="{7B43B863-BA8E-42C2-BF40-0545CB2C4112}">
      <text>
        <r>
          <rPr>
            <sz val="11"/>
            <color theme="1"/>
            <rFont val="Aptos Narrow"/>
            <family val="2"/>
            <scheme val="minor"/>
          </rPr>
          <t>Introduzca un texto con la finalidad de la contratación</t>
        </r>
      </text>
    </comment>
    <comment ref="C992" authorId="1" shapeId="0" xr:uid="{9790DA7E-7900-43C6-9CB0-40C9B4770290}">
      <text>
        <r>
          <rPr>
            <sz val="11"/>
            <color theme="1"/>
            <rFont val="Aptos Narrow"/>
            <family val="2"/>
            <scheme val="minor"/>
          </rPr>
          <t>Seleccionar un valor del listado</t>
        </r>
      </text>
    </comment>
    <comment ref="D992" authorId="1" shapeId="0" xr:uid="{C97B0563-6F80-40B4-A496-68D17A3C1805}">
      <text>
        <r>
          <rPr>
            <sz val="11"/>
            <color theme="1"/>
            <rFont val="Aptos Narrow"/>
            <family val="2"/>
            <scheme val="minor"/>
          </rPr>
          <t>Seleccione el tipo de procedimiento</t>
        </r>
      </text>
    </comment>
    <comment ref="E992" authorId="1" shapeId="0" xr:uid="{4598BE99-AFC4-4659-B051-14994E8BE8BF}">
      <text>
        <r>
          <rPr>
            <sz val="11"/>
            <color theme="1"/>
            <rFont val="Aptos Narrow"/>
            <family val="2"/>
            <scheme val="minor"/>
          </rPr>
          <t>Seleccione un valor de la lista</t>
        </r>
      </text>
    </comment>
    <comment ref="F992" authorId="1" shapeId="0" xr:uid="{C3926F89-3EC4-47D0-A1C6-8751E4EA7E88}">
      <text>
        <r>
          <rPr>
            <sz val="11"/>
            <color theme="1"/>
            <rFont val="Aptos Narrow"/>
            <family val="2"/>
            <scheme val="minor"/>
          </rPr>
          <t>Introduzca el código SNIP</t>
        </r>
      </text>
    </comment>
    <comment ref="C993" authorId="1" shapeId="0" xr:uid="{52DF2D2E-405A-47E9-BEF0-5DAD121A3F87}">
      <text>
        <r>
          <rPr>
            <sz val="11"/>
            <color theme="1"/>
            <rFont val="Aptos Narrow"/>
            <family val="2"/>
            <scheme val="minor"/>
          </rPr>
          <t>Introduzca la fecha de inicio del proceso, en formato dd-mm-aaaa</t>
        </r>
      </text>
    </comment>
    <comment ref="F993" authorId="1" shapeId="0" xr:uid="{FFB1CB80-F65B-46DC-A117-02E48AEBEC6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94" authorId="1" shapeId="0" xr:uid="{A99555A2-4291-4AA1-956E-AF68D4A8FAA4}">
      <text/>
    </comment>
    <comment ref="C995" authorId="1" shapeId="0" xr:uid="{382907B7-B0D8-4804-8425-5051C3F45ACC}">
      <text>
        <r>
          <rPr>
            <sz val="11"/>
            <color theme="1"/>
            <rFont val="Aptos Narrow"/>
            <family val="2"/>
            <scheme val="minor"/>
          </rPr>
          <t>Introduzca la fecha prevista de adjudicación, en formato dd-mm-aaaa</t>
        </r>
      </text>
    </comment>
    <comment ref="F995" authorId="1" shapeId="0" xr:uid="{99975132-DFCC-4A60-BC25-6103ACC7C06C}">
      <text/>
    </comment>
    <comment ref="F996" authorId="1" shapeId="0" xr:uid="{39DF9642-075E-4124-AD0B-71D3CDEF85AE}">
      <text/>
    </comment>
    <comment ref="A998" authorId="1" shapeId="0" xr:uid="{14AC0CF7-0821-4E72-AB48-6DD73D640E46}">
      <text>
        <r>
          <rPr>
            <sz val="11"/>
            <color theme="1"/>
            <rFont val="Aptos Narrow"/>
            <family val="2"/>
            <scheme val="minor"/>
          </rPr>
          <t>Introduzca un codigo UNSPSC</t>
        </r>
      </text>
    </comment>
    <comment ref="B998" authorId="1" shapeId="0" xr:uid="{B5865708-8024-4473-BCF5-F9276B1E78D4}">
      <text>
        <r>
          <rPr>
            <sz val="11"/>
            <color theme="1"/>
            <rFont val="Aptos Narrow"/>
            <family val="2"/>
            <scheme val="minor"/>
          </rPr>
          <t>Descripción calculada automáticamente a partir de código del artículo</t>
        </r>
      </text>
    </comment>
    <comment ref="C998" authorId="1" shapeId="0" xr:uid="{B1F552CF-1480-451D-8F7F-C447C53DAC39}">
      <text>
        <r>
          <rPr>
            <sz val="11"/>
            <color theme="1"/>
            <rFont val="Aptos Narrow"/>
            <family val="2"/>
            <scheme val="minor"/>
          </rPr>
          <t>Seleccione un valor de la lista</t>
        </r>
      </text>
    </comment>
    <comment ref="D998" authorId="1" shapeId="0" xr:uid="{B56F9FE1-9D35-440B-947B-6EA866E7A8D0}">
      <text>
        <r>
          <rPr>
            <sz val="11"/>
            <color theme="1"/>
            <rFont val="Aptos Narrow"/>
            <family val="2"/>
            <scheme val="minor"/>
          </rPr>
          <t>Introduzca un número con dos decimales como máximo. Debe ser igual o mayor a la "Cantidad Real Consumida"</t>
        </r>
      </text>
    </comment>
    <comment ref="E998" authorId="1" shapeId="0" xr:uid="{A01CDD0F-ACB4-4F55-BBF9-52BAB6E4F9F9}">
      <text>
        <r>
          <rPr>
            <sz val="11"/>
            <color theme="1"/>
            <rFont val="Aptos Narrow"/>
            <family val="2"/>
            <scheme val="minor"/>
          </rPr>
          <t>Introduzca un número con dos decimales como máximo</t>
        </r>
      </text>
    </comment>
    <comment ref="F998" authorId="1" shapeId="0" xr:uid="{04B49703-CB41-403A-A44D-829C4CEAB980}">
      <text>
        <r>
          <rPr>
            <sz val="11"/>
            <color theme="1"/>
            <rFont val="Aptos Narrow"/>
            <family val="2"/>
            <scheme val="minor"/>
          </rPr>
          <t>Monto calculado automáticamente por el sistema</t>
        </r>
      </text>
    </comment>
    <comment ref="A1010" authorId="1" shapeId="0" xr:uid="{E33CF281-8CD4-46F9-A73F-2B78886F85CF}">
      <text>
        <r>
          <rPr>
            <sz val="11"/>
            <color theme="1"/>
            <rFont val="Aptos Narrow"/>
            <family val="2"/>
            <scheme val="minor"/>
          </rPr>
          <t>Introducir un texto con el nombre o referencia de la contratación</t>
        </r>
      </text>
    </comment>
    <comment ref="B1010" authorId="1" shapeId="0" xr:uid="{BCCFD07C-1A89-4526-9530-04D6ACB00487}">
      <text>
        <r>
          <rPr>
            <sz val="11"/>
            <color theme="1"/>
            <rFont val="Aptos Narrow"/>
            <family val="2"/>
            <scheme val="minor"/>
          </rPr>
          <t>Introduzca un texto con la finalidad de la contratación</t>
        </r>
      </text>
    </comment>
    <comment ref="C1010" authorId="1" shapeId="0" xr:uid="{9AD4BA50-42A2-45F0-8840-26B8B23B0F34}">
      <text>
        <r>
          <rPr>
            <sz val="11"/>
            <color theme="1"/>
            <rFont val="Aptos Narrow"/>
            <family val="2"/>
            <scheme val="minor"/>
          </rPr>
          <t>Seleccionar un valor del listado</t>
        </r>
      </text>
    </comment>
    <comment ref="D1010" authorId="1" shapeId="0" xr:uid="{54619827-6852-4B85-A48E-A9609CF627D8}">
      <text>
        <r>
          <rPr>
            <sz val="11"/>
            <color theme="1"/>
            <rFont val="Aptos Narrow"/>
            <family val="2"/>
            <scheme val="minor"/>
          </rPr>
          <t>Seleccione el tipo de procedimiento</t>
        </r>
      </text>
    </comment>
    <comment ref="E1010" authorId="1" shapeId="0" xr:uid="{2D52E237-8880-4C05-AB9B-0E13C95405C7}">
      <text>
        <r>
          <rPr>
            <sz val="11"/>
            <color theme="1"/>
            <rFont val="Aptos Narrow"/>
            <family val="2"/>
            <scheme val="minor"/>
          </rPr>
          <t>Seleccione un valor de la lista</t>
        </r>
      </text>
    </comment>
    <comment ref="F1010" authorId="1" shapeId="0" xr:uid="{E7D35686-94CC-4014-AE54-7D3D3A73E3D7}">
      <text>
        <r>
          <rPr>
            <sz val="11"/>
            <color theme="1"/>
            <rFont val="Aptos Narrow"/>
            <family val="2"/>
            <scheme val="minor"/>
          </rPr>
          <t>Introduzca el código SNIP</t>
        </r>
      </text>
    </comment>
    <comment ref="C1011" authorId="1" shapeId="0" xr:uid="{7C495267-DB73-4717-833D-61F5782B1EAF}">
      <text>
        <r>
          <rPr>
            <sz val="11"/>
            <color theme="1"/>
            <rFont val="Aptos Narrow"/>
            <family val="2"/>
            <scheme val="minor"/>
          </rPr>
          <t>Introduzca la fecha de inicio del proceso, en formato dd-mm-aaaa</t>
        </r>
      </text>
    </comment>
    <comment ref="F1011" authorId="1" shapeId="0" xr:uid="{7313BC14-58DF-454A-8D64-0C7DF2DC349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12" authorId="1" shapeId="0" xr:uid="{C69F9569-BC12-4208-9781-E39315B3708F}">
      <text/>
    </comment>
    <comment ref="C1013" authorId="1" shapeId="0" xr:uid="{D6597333-F81D-477A-8C8D-CCB3507BC621}">
      <text>
        <r>
          <rPr>
            <sz val="11"/>
            <color theme="1"/>
            <rFont val="Aptos Narrow"/>
            <family val="2"/>
            <scheme val="minor"/>
          </rPr>
          <t>Introduzca la fecha prevista de adjudicación, en formato dd-mm-aaaa</t>
        </r>
      </text>
    </comment>
    <comment ref="F1013" authorId="1" shapeId="0" xr:uid="{18770B72-2709-4558-8D58-DBD26F5BF8AB}">
      <text/>
    </comment>
    <comment ref="F1014" authorId="1" shapeId="0" xr:uid="{8659AABA-AD18-45DB-93CE-008367D85DD3}">
      <text/>
    </comment>
    <comment ref="A1016" authorId="1" shapeId="0" xr:uid="{5AEF29FC-B435-4B87-A51C-59239C9629B0}">
      <text>
        <r>
          <rPr>
            <sz val="11"/>
            <color theme="1"/>
            <rFont val="Aptos Narrow"/>
            <family val="2"/>
            <scheme val="minor"/>
          </rPr>
          <t>Introduzca un codigo UNSPSC</t>
        </r>
      </text>
    </comment>
    <comment ref="B1016" authorId="1" shapeId="0" xr:uid="{A95DCB62-5C92-4343-9113-7CBE739FDB0B}">
      <text>
        <r>
          <rPr>
            <sz val="11"/>
            <color theme="1"/>
            <rFont val="Aptos Narrow"/>
            <family val="2"/>
            <scheme val="minor"/>
          </rPr>
          <t>Descripción calculada automáticamente a partir de código del artículo</t>
        </r>
      </text>
    </comment>
    <comment ref="C1016" authorId="1" shapeId="0" xr:uid="{060A7026-060A-4C5E-826A-1C3CA4939ECB}">
      <text>
        <r>
          <rPr>
            <sz val="11"/>
            <color theme="1"/>
            <rFont val="Aptos Narrow"/>
            <family val="2"/>
            <scheme val="minor"/>
          </rPr>
          <t>Seleccione un valor de la lista</t>
        </r>
      </text>
    </comment>
    <comment ref="D1016" authorId="1" shapeId="0" xr:uid="{416CD399-59A2-48F2-AE91-4EE35775ECB9}">
      <text>
        <r>
          <rPr>
            <sz val="11"/>
            <color theme="1"/>
            <rFont val="Aptos Narrow"/>
            <family val="2"/>
            <scheme val="minor"/>
          </rPr>
          <t>Introduzca un número con dos decimales como máximo. Debe ser igual o mayor a la "Cantidad Real Consumida"</t>
        </r>
      </text>
    </comment>
    <comment ref="E1016" authorId="1" shapeId="0" xr:uid="{903114C5-EE8B-448E-B6B6-73E645561746}">
      <text>
        <r>
          <rPr>
            <sz val="11"/>
            <color theme="1"/>
            <rFont val="Aptos Narrow"/>
            <family val="2"/>
            <scheme val="minor"/>
          </rPr>
          <t>Introduzca un número con dos decimales como máximo</t>
        </r>
      </text>
    </comment>
    <comment ref="F1016" authorId="1" shapeId="0" xr:uid="{29F11AD8-134E-440F-B874-4DEE5919C78B}">
      <text>
        <r>
          <rPr>
            <sz val="11"/>
            <color theme="1"/>
            <rFont val="Aptos Narrow"/>
            <family val="2"/>
            <scheme val="minor"/>
          </rPr>
          <t>Monto calculado automáticamente por el sistema</t>
        </r>
      </text>
    </comment>
    <comment ref="A1028" authorId="1" shapeId="0" xr:uid="{ADD11835-FB90-4CBD-BEC2-4A817E3084A4}">
      <text>
        <r>
          <rPr>
            <sz val="11"/>
            <color theme="1"/>
            <rFont val="Aptos Narrow"/>
            <family val="2"/>
            <scheme val="minor"/>
          </rPr>
          <t>Introducir un texto con el nombre o referencia de la contratación</t>
        </r>
      </text>
    </comment>
    <comment ref="B1028" authorId="1" shapeId="0" xr:uid="{BD039CC5-EF49-4406-B0E7-BB155A688DB7}">
      <text>
        <r>
          <rPr>
            <sz val="11"/>
            <color theme="1"/>
            <rFont val="Aptos Narrow"/>
            <family val="2"/>
            <scheme val="minor"/>
          </rPr>
          <t>Introduzca un texto con la finalidad de la contratación</t>
        </r>
      </text>
    </comment>
    <comment ref="C1028" authorId="1" shapeId="0" xr:uid="{F25AE7C9-E09E-48FD-93A9-F13F365B8A46}">
      <text>
        <r>
          <rPr>
            <sz val="11"/>
            <color theme="1"/>
            <rFont val="Aptos Narrow"/>
            <family val="2"/>
            <scheme val="minor"/>
          </rPr>
          <t>Seleccionar un valor del listado</t>
        </r>
      </text>
    </comment>
    <comment ref="D1028" authorId="1" shapeId="0" xr:uid="{88C58BCE-DB25-4FDB-8070-774CA279E6BE}">
      <text>
        <r>
          <rPr>
            <sz val="11"/>
            <color theme="1"/>
            <rFont val="Aptos Narrow"/>
            <family val="2"/>
            <scheme val="minor"/>
          </rPr>
          <t>Seleccione el tipo de procedimiento</t>
        </r>
      </text>
    </comment>
    <comment ref="E1028" authorId="1" shapeId="0" xr:uid="{49CCF5DE-7CBC-44FE-9C00-4583CCE5E756}">
      <text>
        <r>
          <rPr>
            <sz val="11"/>
            <color theme="1"/>
            <rFont val="Aptos Narrow"/>
            <family val="2"/>
            <scheme val="minor"/>
          </rPr>
          <t>Seleccione un valor de la lista</t>
        </r>
      </text>
    </comment>
    <comment ref="F1028" authorId="1" shapeId="0" xr:uid="{EDAD3D25-B804-49EF-BD65-5DBD845A0001}">
      <text>
        <r>
          <rPr>
            <sz val="11"/>
            <color theme="1"/>
            <rFont val="Aptos Narrow"/>
            <family val="2"/>
            <scheme val="minor"/>
          </rPr>
          <t>Introduzca el código SNIP</t>
        </r>
      </text>
    </comment>
    <comment ref="C1029" authorId="1" shapeId="0" xr:uid="{25DDED3A-B0CF-41A3-A913-2A1678D4E54B}">
      <text>
        <r>
          <rPr>
            <sz val="11"/>
            <color theme="1"/>
            <rFont val="Aptos Narrow"/>
            <family val="2"/>
            <scheme val="minor"/>
          </rPr>
          <t>Introduzca la fecha de inicio del proceso, en formato dd-mm-aaaa</t>
        </r>
      </text>
    </comment>
    <comment ref="F1029" authorId="1" shapeId="0" xr:uid="{6CF85880-1DD1-442B-AD7D-9774D8B29FC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30" authorId="1" shapeId="0" xr:uid="{BE32BB1C-A1B6-426B-94C2-C5A69914DD8F}">
      <text/>
    </comment>
    <comment ref="C1031" authorId="1" shapeId="0" xr:uid="{619C00D7-C6E0-4574-B9AA-7202F73280BE}">
      <text>
        <r>
          <rPr>
            <sz val="11"/>
            <color theme="1"/>
            <rFont val="Aptos Narrow"/>
            <family val="2"/>
            <scheme val="minor"/>
          </rPr>
          <t>Introduzca la fecha prevista de adjudicación, en formato dd-mm-aaaa</t>
        </r>
      </text>
    </comment>
    <comment ref="F1031" authorId="1" shapeId="0" xr:uid="{E1710B35-B189-4552-B705-5FA1F15EEF23}">
      <text/>
    </comment>
    <comment ref="F1032" authorId="1" shapeId="0" xr:uid="{3C932E59-92AE-4A2F-BFC6-0EBD8C65D9E2}">
      <text/>
    </comment>
    <comment ref="A1034" authorId="1" shapeId="0" xr:uid="{B599A343-CF31-4600-B42C-7CDD61CAE756}">
      <text>
        <r>
          <rPr>
            <sz val="11"/>
            <color theme="1"/>
            <rFont val="Aptos Narrow"/>
            <family val="2"/>
            <scheme val="minor"/>
          </rPr>
          <t>Introduzca un codigo UNSPSC</t>
        </r>
      </text>
    </comment>
    <comment ref="B1034" authorId="1" shapeId="0" xr:uid="{D9C3BBCB-176C-4F36-99D5-00A12AA98DB0}">
      <text>
        <r>
          <rPr>
            <sz val="11"/>
            <color theme="1"/>
            <rFont val="Aptos Narrow"/>
            <family val="2"/>
            <scheme val="minor"/>
          </rPr>
          <t>Descripción calculada automáticamente a partir de código del artículo</t>
        </r>
      </text>
    </comment>
    <comment ref="C1034" authorId="1" shapeId="0" xr:uid="{A0DE6E5A-4C58-4EB4-A736-9DB9AC516C59}">
      <text>
        <r>
          <rPr>
            <sz val="11"/>
            <color theme="1"/>
            <rFont val="Aptos Narrow"/>
            <family val="2"/>
            <scheme val="minor"/>
          </rPr>
          <t>Seleccione un valor de la lista</t>
        </r>
      </text>
    </comment>
    <comment ref="D1034" authorId="1" shapeId="0" xr:uid="{A1E547CE-8F08-4DA6-96BC-9E9C402C3590}">
      <text>
        <r>
          <rPr>
            <sz val="11"/>
            <color theme="1"/>
            <rFont val="Aptos Narrow"/>
            <family val="2"/>
            <scheme val="minor"/>
          </rPr>
          <t>Introduzca un número con dos decimales como máximo. Debe ser igual o mayor a la "Cantidad Real Consumida"</t>
        </r>
      </text>
    </comment>
    <comment ref="E1034" authorId="1" shapeId="0" xr:uid="{20F513F2-87F3-4DCA-BDE7-652A398BD881}">
      <text>
        <r>
          <rPr>
            <sz val="11"/>
            <color theme="1"/>
            <rFont val="Aptos Narrow"/>
            <family val="2"/>
            <scheme val="minor"/>
          </rPr>
          <t>Introduzca un número con dos decimales como máximo</t>
        </r>
      </text>
    </comment>
    <comment ref="F1034" authorId="1" shapeId="0" xr:uid="{67C9BA91-E700-4C3B-962C-933F2F8FC18F}">
      <text>
        <r>
          <rPr>
            <sz val="11"/>
            <color theme="1"/>
            <rFont val="Aptos Narrow"/>
            <family val="2"/>
            <scheme val="minor"/>
          </rPr>
          <t>Monto calculado automáticamente por el sistema</t>
        </r>
      </text>
    </comment>
    <comment ref="A1046" authorId="1" shapeId="0" xr:uid="{D4667A40-FE80-463B-8113-E071A826E0A8}">
      <text>
        <r>
          <rPr>
            <sz val="11"/>
            <color theme="1"/>
            <rFont val="Aptos Narrow"/>
            <family val="2"/>
            <scheme val="minor"/>
          </rPr>
          <t>Introducir un texto con el nombre o referencia de la contratación</t>
        </r>
      </text>
    </comment>
    <comment ref="B1046" authorId="1" shapeId="0" xr:uid="{88BA24E3-BB5E-4228-BCC8-37B076F0DFEF}">
      <text>
        <r>
          <rPr>
            <sz val="11"/>
            <color theme="1"/>
            <rFont val="Aptos Narrow"/>
            <family val="2"/>
            <scheme val="minor"/>
          </rPr>
          <t>Introduzca un texto con la finalidad de la contratación</t>
        </r>
      </text>
    </comment>
    <comment ref="C1046" authorId="1" shapeId="0" xr:uid="{201E9296-3774-4AEA-8039-3BB05BEEA32B}">
      <text>
        <r>
          <rPr>
            <sz val="11"/>
            <color theme="1"/>
            <rFont val="Aptos Narrow"/>
            <family val="2"/>
            <scheme val="minor"/>
          </rPr>
          <t>Seleccionar un valor del listado</t>
        </r>
      </text>
    </comment>
    <comment ref="D1046" authorId="1" shapeId="0" xr:uid="{449CB806-CD4A-4F64-9925-FA186D63CD9D}">
      <text>
        <r>
          <rPr>
            <sz val="11"/>
            <color theme="1"/>
            <rFont val="Aptos Narrow"/>
            <family val="2"/>
            <scheme val="minor"/>
          </rPr>
          <t>Seleccione el tipo de procedimiento</t>
        </r>
      </text>
    </comment>
    <comment ref="E1046" authorId="1" shapeId="0" xr:uid="{C2D9518F-3513-4E13-AE09-FA26A98FF691}">
      <text>
        <r>
          <rPr>
            <sz val="11"/>
            <color theme="1"/>
            <rFont val="Aptos Narrow"/>
            <family val="2"/>
            <scheme val="minor"/>
          </rPr>
          <t>Seleccione un valor de la lista</t>
        </r>
      </text>
    </comment>
    <comment ref="F1046" authorId="1" shapeId="0" xr:uid="{7A4FA189-3F0B-434A-A72B-41693AFDA1E8}">
      <text>
        <r>
          <rPr>
            <sz val="11"/>
            <color theme="1"/>
            <rFont val="Aptos Narrow"/>
            <family val="2"/>
            <scheme val="minor"/>
          </rPr>
          <t>Introduzca el código SNIP</t>
        </r>
      </text>
    </comment>
    <comment ref="C1047" authorId="1" shapeId="0" xr:uid="{2E7F2DE4-91C4-415D-87E6-3B5DE93E0E92}">
      <text>
        <r>
          <rPr>
            <sz val="11"/>
            <color theme="1"/>
            <rFont val="Aptos Narrow"/>
            <family val="2"/>
            <scheme val="minor"/>
          </rPr>
          <t>Introduzca la fecha de inicio del proceso, en formato dd-mm-aaaa</t>
        </r>
      </text>
    </comment>
    <comment ref="F1047" authorId="1" shapeId="0" xr:uid="{9498AB3E-27E9-4447-BFFC-797CDA5A2F3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48" authorId="1" shapeId="0" xr:uid="{F2D29867-DE70-445B-9505-74354B888CE1}">
      <text/>
    </comment>
    <comment ref="C1049" authorId="1" shapeId="0" xr:uid="{72563419-170B-4726-A120-0DADB21B9A65}">
      <text>
        <r>
          <rPr>
            <sz val="11"/>
            <color theme="1"/>
            <rFont val="Aptos Narrow"/>
            <family val="2"/>
            <scheme val="minor"/>
          </rPr>
          <t>Introduzca la fecha prevista de adjudicación, en formato dd-mm-aaaa</t>
        </r>
      </text>
    </comment>
    <comment ref="F1049" authorId="1" shapeId="0" xr:uid="{39D6372F-2E9E-4117-8F48-9C64F9A1036E}">
      <text/>
    </comment>
    <comment ref="F1050" authorId="1" shapeId="0" xr:uid="{6925885C-315D-40D6-BA54-5F11BF7029F9}">
      <text/>
    </comment>
    <comment ref="A1052" authorId="1" shapeId="0" xr:uid="{D125402A-EB3E-44D0-B574-82EABAE27E3D}">
      <text>
        <r>
          <rPr>
            <sz val="11"/>
            <color theme="1"/>
            <rFont val="Aptos Narrow"/>
            <family val="2"/>
            <scheme val="minor"/>
          </rPr>
          <t>Introduzca un codigo UNSPSC</t>
        </r>
      </text>
    </comment>
    <comment ref="B1052" authorId="1" shapeId="0" xr:uid="{9C1CD5D0-E9F4-4277-B6D8-73F68B3B4FEF}">
      <text>
        <r>
          <rPr>
            <sz val="11"/>
            <color theme="1"/>
            <rFont val="Aptos Narrow"/>
            <family val="2"/>
            <scheme val="minor"/>
          </rPr>
          <t>Descripción calculada automáticamente a partir de código del artículo</t>
        </r>
      </text>
    </comment>
    <comment ref="C1052" authorId="1" shapeId="0" xr:uid="{C3A134AB-A948-46A8-9D2A-FAA83112BFEE}">
      <text>
        <r>
          <rPr>
            <sz val="11"/>
            <color theme="1"/>
            <rFont val="Aptos Narrow"/>
            <family val="2"/>
            <scheme val="minor"/>
          </rPr>
          <t>Seleccione un valor de la lista</t>
        </r>
      </text>
    </comment>
    <comment ref="D1052" authorId="1" shapeId="0" xr:uid="{B537B6B4-AE6D-4011-B7F6-E1887E307088}">
      <text>
        <r>
          <rPr>
            <sz val="11"/>
            <color theme="1"/>
            <rFont val="Aptos Narrow"/>
            <family val="2"/>
            <scheme val="minor"/>
          </rPr>
          <t>Introduzca un número con dos decimales como máximo. Debe ser igual o mayor a la "Cantidad Real Consumida"</t>
        </r>
      </text>
    </comment>
    <comment ref="E1052" authorId="1" shapeId="0" xr:uid="{56C10C07-C138-488C-B331-8539FB1B38D6}">
      <text>
        <r>
          <rPr>
            <sz val="11"/>
            <color theme="1"/>
            <rFont val="Aptos Narrow"/>
            <family val="2"/>
            <scheme val="minor"/>
          </rPr>
          <t>Introduzca un número con dos decimales como máximo</t>
        </r>
      </text>
    </comment>
    <comment ref="F1052" authorId="1" shapeId="0" xr:uid="{D93B1365-2416-4E6C-8301-AADEE91C9699}">
      <text>
        <r>
          <rPr>
            <sz val="11"/>
            <color theme="1"/>
            <rFont val="Aptos Narrow"/>
            <family val="2"/>
            <scheme val="minor"/>
          </rPr>
          <t>Monto calculado automáticamente por el sistema</t>
        </r>
      </text>
    </comment>
    <comment ref="A1064" authorId="1" shapeId="0" xr:uid="{2891C3D8-2157-4F8F-8F9B-D38CC7B41FB8}">
      <text>
        <r>
          <rPr>
            <sz val="11"/>
            <color theme="1"/>
            <rFont val="Aptos Narrow"/>
            <family val="2"/>
            <scheme val="minor"/>
          </rPr>
          <t>Introducir un texto con el nombre o referencia de la contratación</t>
        </r>
      </text>
    </comment>
    <comment ref="B1064" authorId="1" shapeId="0" xr:uid="{CB650F3B-C0B7-468A-B174-0EB3061417D2}">
      <text>
        <r>
          <rPr>
            <sz val="11"/>
            <color theme="1"/>
            <rFont val="Aptos Narrow"/>
            <family val="2"/>
            <scheme val="minor"/>
          </rPr>
          <t>Introduzca un texto con la finalidad de la contratación</t>
        </r>
      </text>
    </comment>
    <comment ref="C1064" authorId="1" shapeId="0" xr:uid="{5CE02952-5C0A-4F77-8154-60C1AAC9BE6A}">
      <text>
        <r>
          <rPr>
            <sz val="11"/>
            <color theme="1"/>
            <rFont val="Aptos Narrow"/>
            <family val="2"/>
            <scheme val="minor"/>
          </rPr>
          <t>Seleccionar un valor del listado</t>
        </r>
      </text>
    </comment>
    <comment ref="D1064" authorId="1" shapeId="0" xr:uid="{C4C2BB2D-C8A8-4127-8904-3AFA56D6D86A}">
      <text>
        <r>
          <rPr>
            <sz val="11"/>
            <color theme="1"/>
            <rFont val="Aptos Narrow"/>
            <family val="2"/>
            <scheme val="minor"/>
          </rPr>
          <t>Seleccione el tipo de procedimiento</t>
        </r>
      </text>
    </comment>
    <comment ref="E1064" authorId="1" shapeId="0" xr:uid="{C2136DD3-BC0E-4710-BB1B-B99C74BB45D7}">
      <text>
        <r>
          <rPr>
            <sz val="11"/>
            <color theme="1"/>
            <rFont val="Aptos Narrow"/>
            <family val="2"/>
            <scheme val="minor"/>
          </rPr>
          <t>Seleccione un valor de la lista</t>
        </r>
      </text>
    </comment>
    <comment ref="F1064" authorId="1" shapeId="0" xr:uid="{F152BD11-CA4A-4C6C-B617-3641A867A2E8}">
      <text>
        <r>
          <rPr>
            <sz val="11"/>
            <color theme="1"/>
            <rFont val="Aptos Narrow"/>
            <family val="2"/>
            <scheme val="minor"/>
          </rPr>
          <t>Introduzca el código SNIP</t>
        </r>
      </text>
    </comment>
    <comment ref="C1065" authorId="1" shapeId="0" xr:uid="{F855A20D-2BC6-48A7-95C0-98FEDE165E41}">
      <text>
        <r>
          <rPr>
            <sz val="11"/>
            <color theme="1"/>
            <rFont val="Aptos Narrow"/>
            <family val="2"/>
            <scheme val="minor"/>
          </rPr>
          <t>Introduzca la fecha de inicio del proceso, en formato dd-mm-aaaa</t>
        </r>
      </text>
    </comment>
    <comment ref="F1065" authorId="1" shapeId="0" xr:uid="{9938CD35-8E69-4563-8799-C43A8E89323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66" authorId="1" shapeId="0" xr:uid="{00E1B69C-BD49-40FF-A15E-B9F41F700444}">
      <text/>
    </comment>
    <comment ref="C1067" authorId="1" shapeId="0" xr:uid="{ED0D6D35-B12E-4554-90B0-4D9B1943A870}">
      <text>
        <r>
          <rPr>
            <sz val="11"/>
            <color theme="1"/>
            <rFont val="Aptos Narrow"/>
            <family val="2"/>
            <scheme val="minor"/>
          </rPr>
          <t>Introduzca la fecha prevista de adjudicación, en formato dd-mm-aaaa</t>
        </r>
      </text>
    </comment>
    <comment ref="F1067" authorId="1" shapeId="0" xr:uid="{161560B7-1145-47E8-B0FC-69552F4FE144}">
      <text/>
    </comment>
    <comment ref="F1068" authorId="1" shapeId="0" xr:uid="{72F0F21C-E8AA-4F42-A251-09B2B9823A10}">
      <text/>
    </comment>
    <comment ref="A1070" authorId="1" shapeId="0" xr:uid="{5511B57F-D711-4897-A4D3-EFA46403321F}">
      <text>
        <r>
          <rPr>
            <sz val="11"/>
            <color theme="1"/>
            <rFont val="Aptos Narrow"/>
            <family val="2"/>
            <scheme val="minor"/>
          </rPr>
          <t>Introduzca un codigo UNSPSC</t>
        </r>
      </text>
    </comment>
    <comment ref="B1070" authorId="1" shapeId="0" xr:uid="{71E9B8F5-29C1-4B62-94B8-7BC56F5C495C}">
      <text>
        <r>
          <rPr>
            <sz val="11"/>
            <color theme="1"/>
            <rFont val="Aptos Narrow"/>
            <family val="2"/>
            <scheme val="minor"/>
          </rPr>
          <t>Descripción calculada automáticamente a partir de código del artículo</t>
        </r>
      </text>
    </comment>
    <comment ref="C1070" authorId="1" shapeId="0" xr:uid="{D8A378F6-1492-4A3A-AA5B-10D7BA0D6CDF}">
      <text>
        <r>
          <rPr>
            <sz val="11"/>
            <color theme="1"/>
            <rFont val="Aptos Narrow"/>
            <family val="2"/>
            <scheme val="minor"/>
          </rPr>
          <t>Seleccione un valor de la lista</t>
        </r>
      </text>
    </comment>
    <comment ref="D1070" authorId="1" shapeId="0" xr:uid="{81FA3A83-25DF-45A5-A482-DDE534E64993}">
      <text>
        <r>
          <rPr>
            <sz val="11"/>
            <color theme="1"/>
            <rFont val="Aptos Narrow"/>
            <family val="2"/>
            <scheme val="minor"/>
          </rPr>
          <t>Introduzca un número con dos decimales como máximo. Debe ser igual o mayor a la "Cantidad Real Consumida"</t>
        </r>
      </text>
    </comment>
    <comment ref="E1070" authorId="1" shapeId="0" xr:uid="{167159EF-1063-41B0-B979-268E11E1462D}">
      <text>
        <r>
          <rPr>
            <sz val="11"/>
            <color theme="1"/>
            <rFont val="Aptos Narrow"/>
            <family val="2"/>
            <scheme val="minor"/>
          </rPr>
          <t>Introduzca un número con dos decimales como máximo</t>
        </r>
      </text>
    </comment>
    <comment ref="F1070" authorId="1" shapeId="0" xr:uid="{28691724-E4FB-4585-8750-3DE86C3003CD}">
      <text>
        <r>
          <rPr>
            <sz val="11"/>
            <color theme="1"/>
            <rFont val="Aptos Narrow"/>
            <family val="2"/>
            <scheme val="minor"/>
          </rPr>
          <t>Monto calculado automáticamente por el sistema</t>
        </r>
      </text>
    </comment>
    <comment ref="A1082" authorId="1" shapeId="0" xr:uid="{362FE2EB-59B2-4D0F-A7BF-6981CA5268BF}">
      <text>
        <r>
          <rPr>
            <sz val="11"/>
            <color theme="1"/>
            <rFont val="Aptos Narrow"/>
            <family val="2"/>
            <scheme val="minor"/>
          </rPr>
          <t>Introducir un texto con el nombre o referencia de la contratación</t>
        </r>
      </text>
    </comment>
    <comment ref="B1082" authorId="1" shapeId="0" xr:uid="{FCF318A5-28BF-4D49-9599-60491A1B4CB8}">
      <text>
        <r>
          <rPr>
            <sz val="11"/>
            <color theme="1"/>
            <rFont val="Aptos Narrow"/>
            <family val="2"/>
            <scheme val="minor"/>
          </rPr>
          <t>Introduzca un texto con la finalidad de la contratación</t>
        </r>
      </text>
    </comment>
    <comment ref="C1082" authorId="1" shapeId="0" xr:uid="{775795FF-8043-4AF9-89A5-B3E645ED8685}">
      <text>
        <r>
          <rPr>
            <sz val="11"/>
            <color theme="1"/>
            <rFont val="Aptos Narrow"/>
            <family val="2"/>
            <scheme val="minor"/>
          </rPr>
          <t>Seleccionar un valor del listado</t>
        </r>
      </text>
    </comment>
    <comment ref="D1082" authorId="1" shapeId="0" xr:uid="{DC86E5EE-CE26-4397-9BC4-E54ED3BA7362}">
      <text>
        <r>
          <rPr>
            <sz val="11"/>
            <color theme="1"/>
            <rFont val="Aptos Narrow"/>
            <family val="2"/>
            <scheme val="minor"/>
          </rPr>
          <t>Seleccione el tipo de procedimiento</t>
        </r>
      </text>
    </comment>
    <comment ref="E1082" authorId="1" shapeId="0" xr:uid="{11CA422D-68AA-4F4D-91BD-9E1B2A977EC6}">
      <text>
        <r>
          <rPr>
            <sz val="11"/>
            <color theme="1"/>
            <rFont val="Aptos Narrow"/>
            <family val="2"/>
            <scheme val="minor"/>
          </rPr>
          <t>Seleccione un valor de la lista</t>
        </r>
      </text>
    </comment>
    <comment ref="F1082" authorId="1" shapeId="0" xr:uid="{49264F5E-E7D3-4BEE-B022-42F70ABBC6C9}">
      <text>
        <r>
          <rPr>
            <sz val="11"/>
            <color theme="1"/>
            <rFont val="Aptos Narrow"/>
            <family val="2"/>
            <scheme val="minor"/>
          </rPr>
          <t>Introduzca el código SNIP</t>
        </r>
      </text>
    </comment>
    <comment ref="C1083" authorId="1" shapeId="0" xr:uid="{C1747438-4564-4DA1-AA9C-463067CF85EE}">
      <text>
        <r>
          <rPr>
            <sz val="11"/>
            <color theme="1"/>
            <rFont val="Aptos Narrow"/>
            <family val="2"/>
            <scheme val="minor"/>
          </rPr>
          <t>Introduzca la fecha de inicio del proceso, en formato dd-mm-aaaa</t>
        </r>
      </text>
    </comment>
    <comment ref="F1083" authorId="1" shapeId="0" xr:uid="{34104371-3F50-45C9-B05E-5EF1CC534E5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84" authorId="1" shapeId="0" xr:uid="{BAF68EBF-1443-4819-9500-62651B031393}">
      <text/>
    </comment>
    <comment ref="C1085" authorId="1" shapeId="0" xr:uid="{F17FE063-59E9-443E-8FF4-BB5E9BB1D55F}">
      <text>
        <r>
          <rPr>
            <sz val="11"/>
            <color theme="1"/>
            <rFont val="Aptos Narrow"/>
            <family val="2"/>
            <scheme val="minor"/>
          </rPr>
          <t>Introduzca la fecha prevista de adjudicación, en formato dd-mm-aaaa</t>
        </r>
      </text>
    </comment>
    <comment ref="F1085" authorId="1" shapeId="0" xr:uid="{E889AF73-F7D8-4927-AF7C-C7D46A098C26}">
      <text/>
    </comment>
    <comment ref="F1086" authorId="1" shapeId="0" xr:uid="{9864B2CE-E1E0-4B01-9187-A577CCFDE935}">
      <text/>
    </comment>
    <comment ref="A1088" authorId="1" shapeId="0" xr:uid="{9DA61146-8B29-4FA1-B74C-7127853CABF4}">
      <text>
        <r>
          <rPr>
            <sz val="11"/>
            <color theme="1"/>
            <rFont val="Aptos Narrow"/>
            <family val="2"/>
            <scheme val="minor"/>
          </rPr>
          <t>Introduzca un codigo UNSPSC</t>
        </r>
      </text>
    </comment>
    <comment ref="B1088" authorId="1" shapeId="0" xr:uid="{D9FB5032-903D-490B-A4DB-6EE650AA79B2}">
      <text>
        <r>
          <rPr>
            <sz val="11"/>
            <color theme="1"/>
            <rFont val="Aptos Narrow"/>
            <family val="2"/>
            <scheme val="minor"/>
          </rPr>
          <t>Descripción calculada automáticamente a partir de código del artículo</t>
        </r>
      </text>
    </comment>
    <comment ref="C1088" authorId="1" shapeId="0" xr:uid="{6EA0905E-BEBE-4A85-8A4A-D58CD2A5469B}">
      <text>
        <r>
          <rPr>
            <sz val="11"/>
            <color theme="1"/>
            <rFont val="Aptos Narrow"/>
            <family val="2"/>
            <scheme val="minor"/>
          </rPr>
          <t>Seleccione un valor de la lista</t>
        </r>
      </text>
    </comment>
    <comment ref="D1088" authorId="1" shapeId="0" xr:uid="{BBE6F440-B73D-4679-AF7B-52FC372350DE}">
      <text>
        <r>
          <rPr>
            <sz val="11"/>
            <color theme="1"/>
            <rFont val="Aptos Narrow"/>
            <family val="2"/>
            <scheme val="minor"/>
          </rPr>
          <t>Introduzca un número con dos decimales como máximo. Debe ser igual o mayor a la "Cantidad Real Consumida"</t>
        </r>
      </text>
    </comment>
    <comment ref="E1088" authorId="1" shapeId="0" xr:uid="{6694AC99-A4D4-483E-8079-50F7E6F88A2A}">
      <text>
        <r>
          <rPr>
            <sz val="11"/>
            <color theme="1"/>
            <rFont val="Aptos Narrow"/>
            <family val="2"/>
            <scheme val="minor"/>
          </rPr>
          <t>Introduzca un número con dos decimales como máximo</t>
        </r>
      </text>
    </comment>
    <comment ref="F1088" authorId="1" shapeId="0" xr:uid="{B511EAF7-9062-46AE-A33E-722A95C3F3A2}">
      <text>
        <r>
          <rPr>
            <sz val="11"/>
            <color theme="1"/>
            <rFont val="Aptos Narrow"/>
            <family val="2"/>
            <scheme val="minor"/>
          </rPr>
          <t>Monto calculado automáticamente por el sistema</t>
        </r>
      </text>
    </comment>
    <comment ref="A1100" authorId="1" shapeId="0" xr:uid="{D4ACD6F1-E53B-4239-9D5C-5FEFFBDA1B99}">
      <text>
        <r>
          <rPr>
            <sz val="11"/>
            <color theme="1"/>
            <rFont val="Aptos Narrow"/>
            <family val="2"/>
            <scheme val="minor"/>
          </rPr>
          <t>Introducir un texto con el nombre o referencia de la contratación</t>
        </r>
      </text>
    </comment>
    <comment ref="B1100" authorId="1" shapeId="0" xr:uid="{A0AEE05D-19B6-4562-B064-7DB0EE47076F}">
      <text>
        <r>
          <rPr>
            <sz val="11"/>
            <color theme="1"/>
            <rFont val="Aptos Narrow"/>
            <family val="2"/>
            <scheme val="minor"/>
          </rPr>
          <t>Introduzca un texto con la finalidad de la contratación</t>
        </r>
      </text>
    </comment>
    <comment ref="C1100" authorId="1" shapeId="0" xr:uid="{4D378A94-1777-4C5B-94B0-3B928CD6451B}">
      <text>
        <r>
          <rPr>
            <sz val="11"/>
            <color theme="1"/>
            <rFont val="Aptos Narrow"/>
            <family val="2"/>
            <scheme val="minor"/>
          </rPr>
          <t>Seleccionar un valor del listado</t>
        </r>
      </text>
    </comment>
    <comment ref="D1100" authorId="1" shapeId="0" xr:uid="{CF1B8B45-3530-41C2-91A2-7F9DD37DC28E}">
      <text>
        <r>
          <rPr>
            <sz val="11"/>
            <color theme="1"/>
            <rFont val="Aptos Narrow"/>
            <family val="2"/>
            <scheme val="minor"/>
          </rPr>
          <t>Seleccione el tipo de procedimiento</t>
        </r>
      </text>
    </comment>
    <comment ref="E1100" authorId="1" shapeId="0" xr:uid="{2FB37029-423C-4328-9C01-764A66B7F3F9}">
      <text>
        <r>
          <rPr>
            <sz val="11"/>
            <color theme="1"/>
            <rFont val="Aptos Narrow"/>
            <family val="2"/>
            <scheme val="minor"/>
          </rPr>
          <t>Seleccione un valor de la lista</t>
        </r>
      </text>
    </comment>
    <comment ref="F1100" authorId="1" shapeId="0" xr:uid="{C4C8A6DA-EC20-428A-AD18-EE7734FCAA81}">
      <text>
        <r>
          <rPr>
            <sz val="11"/>
            <color theme="1"/>
            <rFont val="Aptos Narrow"/>
            <family val="2"/>
            <scheme val="minor"/>
          </rPr>
          <t>Introduzca el código SNIP</t>
        </r>
      </text>
    </comment>
    <comment ref="C1101" authorId="1" shapeId="0" xr:uid="{885216B5-08AC-4600-81D5-05550444A525}">
      <text>
        <r>
          <rPr>
            <sz val="11"/>
            <color theme="1"/>
            <rFont val="Aptos Narrow"/>
            <family val="2"/>
            <scheme val="minor"/>
          </rPr>
          <t>Introduzca la fecha de inicio del proceso, en formato dd-mm-aaaa</t>
        </r>
      </text>
    </comment>
    <comment ref="F1101" authorId="1" shapeId="0" xr:uid="{8A305F37-506E-4714-93D2-10464D72782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02" authorId="1" shapeId="0" xr:uid="{5C1A2CC8-3F5C-4B24-8A7E-6DACED8ECD57}">
      <text/>
    </comment>
    <comment ref="C1103" authorId="1" shapeId="0" xr:uid="{D419802E-34BA-4FB2-9745-3608DCAD6E48}">
      <text>
        <r>
          <rPr>
            <sz val="11"/>
            <color theme="1"/>
            <rFont val="Aptos Narrow"/>
            <family val="2"/>
            <scheme val="minor"/>
          </rPr>
          <t>Introduzca la fecha prevista de adjudicación, en formato dd-mm-aaaa</t>
        </r>
      </text>
    </comment>
    <comment ref="F1103" authorId="1" shapeId="0" xr:uid="{14011741-AD32-4519-9299-A2FF26B356FD}">
      <text/>
    </comment>
    <comment ref="F1104" authorId="1" shapeId="0" xr:uid="{95EBDD26-49F2-4A86-AC42-A0DD7915CA58}">
      <text/>
    </comment>
    <comment ref="A1106" authorId="1" shapeId="0" xr:uid="{100FF7F9-19CE-40FA-93E7-C5B4E0F3DAD5}">
      <text>
        <r>
          <rPr>
            <sz val="11"/>
            <color theme="1"/>
            <rFont val="Aptos Narrow"/>
            <family val="2"/>
            <scheme val="minor"/>
          </rPr>
          <t>Introduzca un codigo UNSPSC</t>
        </r>
      </text>
    </comment>
    <comment ref="B1106" authorId="1" shapeId="0" xr:uid="{7D943CDE-B6E2-4616-8EDE-F329E521301B}">
      <text>
        <r>
          <rPr>
            <sz val="11"/>
            <color theme="1"/>
            <rFont val="Aptos Narrow"/>
            <family val="2"/>
            <scheme val="minor"/>
          </rPr>
          <t>Descripción calculada automáticamente a partir de código del artículo</t>
        </r>
      </text>
    </comment>
    <comment ref="C1106" authorId="1" shapeId="0" xr:uid="{2BB25B58-EF75-42B2-84B6-D9A14E21D828}">
      <text>
        <r>
          <rPr>
            <sz val="11"/>
            <color theme="1"/>
            <rFont val="Aptos Narrow"/>
            <family val="2"/>
            <scheme val="minor"/>
          </rPr>
          <t>Seleccione un valor de la lista</t>
        </r>
      </text>
    </comment>
    <comment ref="D1106" authorId="1" shapeId="0" xr:uid="{5CFEBB93-6375-4BB7-97C0-3252AA1CC6B4}">
      <text>
        <r>
          <rPr>
            <sz val="11"/>
            <color theme="1"/>
            <rFont val="Aptos Narrow"/>
            <family val="2"/>
            <scheme val="minor"/>
          </rPr>
          <t>Introduzca un número con dos decimales como máximo. Debe ser igual o mayor a la "Cantidad Real Consumida"</t>
        </r>
      </text>
    </comment>
    <comment ref="E1106" authorId="1" shapeId="0" xr:uid="{E130D348-7120-40ED-B23B-24FD94D6D951}">
      <text>
        <r>
          <rPr>
            <sz val="11"/>
            <color theme="1"/>
            <rFont val="Aptos Narrow"/>
            <family val="2"/>
            <scheme val="minor"/>
          </rPr>
          <t>Introduzca un número con dos decimales como máximo</t>
        </r>
      </text>
    </comment>
    <comment ref="F1106" authorId="1" shapeId="0" xr:uid="{BEEAF756-43A4-4607-A194-68BAAE310CCB}">
      <text>
        <r>
          <rPr>
            <sz val="11"/>
            <color theme="1"/>
            <rFont val="Aptos Narrow"/>
            <family val="2"/>
            <scheme val="minor"/>
          </rPr>
          <t>Monto calculado automáticamente por el sistema</t>
        </r>
      </text>
    </comment>
    <comment ref="A1118" authorId="1" shapeId="0" xr:uid="{CD19AA14-66A2-483E-B402-8A5F90A518A5}">
      <text>
        <r>
          <rPr>
            <sz val="11"/>
            <color theme="1"/>
            <rFont val="Aptos Narrow"/>
            <family val="2"/>
            <scheme val="minor"/>
          </rPr>
          <t>Introducir un texto con el nombre o referencia de la contratación</t>
        </r>
      </text>
    </comment>
    <comment ref="B1118" authorId="1" shapeId="0" xr:uid="{8C23FEC2-16FC-4AE1-AE6D-0C09CB907F46}">
      <text>
        <r>
          <rPr>
            <sz val="11"/>
            <color theme="1"/>
            <rFont val="Aptos Narrow"/>
            <family val="2"/>
            <scheme val="minor"/>
          </rPr>
          <t>Introduzca un texto con la finalidad de la contratación</t>
        </r>
      </text>
    </comment>
    <comment ref="C1118" authorId="1" shapeId="0" xr:uid="{8DDFA68A-97E7-468C-A797-377A07F6439D}">
      <text>
        <r>
          <rPr>
            <sz val="11"/>
            <color theme="1"/>
            <rFont val="Aptos Narrow"/>
            <family val="2"/>
            <scheme val="minor"/>
          </rPr>
          <t>Seleccionar un valor del listado</t>
        </r>
      </text>
    </comment>
    <comment ref="D1118" authorId="1" shapeId="0" xr:uid="{766E507F-B725-49A8-8D67-E5DD4B0A06B7}">
      <text>
        <r>
          <rPr>
            <sz val="11"/>
            <color theme="1"/>
            <rFont val="Aptos Narrow"/>
            <family val="2"/>
            <scheme val="minor"/>
          </rPr>
          <t>Seleccione el tipo de procedimiento</t>
        </r>
      </text>
    </comment>
    <comment ref="E1118" authorId="1" shapeId="0" xr:uid="{E5B150A5-999D-4C0F-B5B8-94396A6F70E1}">
      <text>
        <r>
          <rPr>
            <sz val="11"/>
            <color theme="1"/>
            <rFont val="Aptos Narrow"/>
            <family val="2"/>
            <scheme val="minor"/>
          </rPr>
          <t>Seleccione un valor de la lista</t>
        </r>
      </text>
    </comment>
    <comment ref="F1118" authorId="1" shapeId="0" xr:uid="{BC236053-43FF-427E-ACF7-0A001EC170B9}">
      <text>
        <r>
          <rPr>
            <sz val="11"/>
            <color theme="1"/>
            <rFont val="Aptos Narrow"/>
            <family val="2"/>
            <scheme val="minor"/>
          </rPr>
          <t>Introduzca el código SNIP</t>
        </r>
      </text>
    </comment>
    <comment ref="C1119" authorId="1" shapeId="0" xr:uid="{1FD862B2-6875-402B-91BA-4CCD53BF964F}">
      <text>
        <r>
          <rPr>
            <sz val="11"/>
            <color theme="1"/>
            <rFont val="Aptos Narrow"/>
            <family val="2"/>
            <scheme val="minor"/>
          </rPr>
          <t>Introduzca la fecha de inicio del proceso, en formato dd-mm-aaaa</t>
        </r>
      </text>
    </comment>
    <comment ref="F1119" authorId="1" shapeId="0" xr:uid="{758BCAAE-01C2-4D57-9F04-16CE5C2A191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20" authorId="1" shapeId="0" xr:uid="{B6874F54-DECC-4F30-BA22-077B13A648CC}">
      <text/>
    </comment>
    <comment ref="C1121" authorId="1" shapeId="0" xr:uid="{DDE0CD7A-CE17-4BE8-B34B-540D3DE011AD}">
      <text>
        <r>
          <rPr>
            <sz val="11"/>
            <color theme="1"/>
            <rFont val="Aptos Narrow"/>
            <family val="2"/>
            <scheme val="minor"/>
          </rPr>
          <t>Introduzca la fecha prevista de adjudicación, en formato dd-mm-aaaa</t>
        </r>
      </text>
    </comment>
    <comment ref="F1121" authorId="1" shapeId="0" xr:uid="{04DC83F1-EACD-4E6C-8344-CF3E5298240B}">
      <text/>
    </comment>
    <comment ref="F1122" authorId="1" shapeId="0" xr:uid="{32088EED-3264-4213-A5F6-45BDF836C73B}">
      <text/>
    </comment>
    <comment ref="A1124" authorId="1" shapeId="0" xr:uid="{BAFBF856-FBA9-43EB-B485-F80DA9365A13}">
      <text>
        <r>
          <rPr>
            <sz val="11"/>
            <color theme="1"/>
            <rFont val="Aptos Narrow"/>
            <family val="2"/>
            <scheme val="minor"/>
          </rPr>
          <t>Introduzca un codigo UNSPSC</t>
        </r>
      </text>
    </comment>
    <comment ref="B1124" authorId="1" shapeId="0" xr:uid="{A93561B8-CD18-412B-BBBB-05EF4A0EE1CF}">
      <text>
        <r>
          <rPr>
            <sz val="11"/>
            <color theme="1"/>
            <rFont val="Aptos Narrow"/>
            <family val="2"/>
            <scheme val="minor"/>
          </rPr>
          <t>Descripción calculada automáticamente a partir de código del artículo</t>
        </r>
      </text>
    </comment>
    <comment ref="C1124" authorId="1" shapeId="0" xr:uid="{3AD25EEA-5D7D-4332-B5F8-FA20795F64BE}">
      <text>
        <r>
          <rPr>
            <sz val="11"/>
            <color theme="1"/>
            <rFont val="Aptos Narrow"/>
            <family val="2"/>
            <scheme val="minor"/>
          </rPr>
          <t>Seleccione un valor de la lista</t>
        </r>
      </text>
    </comment>
    <comment ref="D1124" authorId="1" shapeId="0" xr:uid="{14B666C2-B170-4801-9AAF-BD6E0A933576}">
      <text>
        <r>
          <rPr>
            <sz val="11"/>
            <color theme="1"/>
            <rFont val="Aptos Narrow"/>
            <family val="2"/>
            <scheme val="minor"/>
          </rPr>
          <t>Introduzca un número con dos decimales como máximo. Debe ser igual o mayor a la "Cantidad Real Consumida"</t>
        </r>
      </text>
    </comment>
    <comment ref="E1124" authorId="1" shapeId="0" xr:uid="{1C9BB89C-419C-4D03-9938-43E570BD2666}">
      <text>
        <r>
          <rPr>
            <sz val="11"/>
            <color theme="1"/>
            <rFont val="Aptos Narrow"/>
            <family val="2"/>
            <scheme val="minor"/>
          </rPr>
          <t>Introduzca un número con dos decimales como máximo</t>
        </r>
      </text>
    </comment>
    <comment ref="F1124" authorId="1" shapeId="0" xr:uid="{3E2E44F9-11D3-4590-883B-5981D692217D}">
      <text>
        <r>
          <rPr>
            <sz val="11"/>
            <color theme="1"/>
            <rFont val="Aptos Narrow"/>
            <family val="2"/>
            <scheme val="minor"/>
          </rPr>
          <t>Monto calculado automáticamente por el sistema</t>
        </r>
      </text>
    </comment>
    <comment ref="A1158" authorId="1" shapeId="0" xr:uid="{0A28EEE8-D6E6-4E94-899F-CE5948506A6F}">
      <text>
        <r>
          <rPr>
            <sz val="11"/>
            <color theme="1"/>
            <rFont val="Aptos Narrow"/>
            <family val="2"/>
            <scheme val="minor"/>
          </rPr>
          <t>Introducir un texto con el nombre o referencia de la contratación</t>
        </r>
      </text>
    </comment>
    <comment ref="B1158" authorId="1" shapeId="0" xr:uid="{9F0D96BC-7D4A-497D-A0F1-4AC73BF6EAD9}">
      <text>
        <r>
          <rPr>
            <sz val="11"/>
            <color theme="1"/>
            <rFont val="Aptos Narrow"/>
            <family val="2"/>
            <scheme val="minor"/>
          </rPr>
          <t>Introduzca un texto con la finalidad de la contratación</t>
        </r>
      </text>
    </comment>
    <comment ref="C1158" authorId="1" shapeId="0" xr:uid="{8C98EA3D-6868-41D3-BADE-0381D0A872D3}">
      <text>
        <r>
          <rPr>
            <sz val="11"/>
            <color theme="1"/>
            <rFont val="Aptos Narrow"/>
            <family val="2"/>
            <scheme val="minor"/>
          </rPr>
          <t>Seleccionar un valor del listado</t>
        </r>
      </text>
    </comment>
    <comment ref="D1158" authorId="1" shapeId="0" xr:uid="{C39040E0-56A4-4820-8FA3-1548525917CA}">
      <text>
        <r>
          <rPr>
            <sz val="11"/>
            <color theme="1"/>
            <rFont val="Aptos Narrow"/>
            <family val="2"/>
            <scheme val="minor"/>
          </rPr>
          <t>Seleccione el tipo de procedimiento</t>
        </r>
      </text>
    </comment>
    <comment ref="E1158" authorId="1" shapeId="0" xr:uid="{DA82049C-25F1-4F8B-B748-E48CA986C914}">
      <text>
        <r>
          <rPr>
            <sz val="11"/>
            <color theme="1"/>
            <rFont val="Aptos Narrow"/>
            <family val="2"/>
            <scheme val="minor"/>
          </rPr>
          <t>Seleccione un valor de la lista</t>
        </r>
      </text>
    </comment>
    <comment ref="F1158" authorId="1" shapeId="0" xr:uid="{96B77D53-7AEF-4CCC-B3CC-06085BE8C193}">
      <text>
        <r>
          <rPr>
            <sz val="11"/>
            <color theme="1"/>
            <rFont val="Aptos Narrow"/>
            <family val="2"/>
            <scheme val="minor"/>
          </rPr>
          <t>Introduzca el código SNIP</t>
        </r>
      </text>
    </comment>
    <comment ref="C1159" authorId="1" shapeId="0" xr:uid="{212E4746-FA35-40BF-9CFF-14EBDE265B34}">
      <text>
        <r>
          <rPr>
            <sz val="11"/>
            <color theme="1"/>
            <rFont val="Aptos Narrow"/>
            <family val="2"/>
            <scheme val="minor"/>
          </rPr>
          <t>Introduzca la fecha de inicio del proceso, en formato dd-mm-aaaa</t>
        </r>
      </text>
    </comment>
    <comment ref="F1159" authorId="1" shapeId="0" xr:uid="{94EEB609-C262-482D-B627-4BBC4CA1498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60" authorId="1" shapeId="0" xr:uid="{B2B23CC5-7088-42B6-9B22-B26728257E18}">
      <text/>
    </comment>
    <comment ref="C1161" authorId="1" shapeId="0" xr:uid="{38212627-8BFD-44DF-97D9-816B1413A1E0}">
      <text>
        <r>
          <rPr>
            <sz val="11"/>
            <color theme="1"/>
            <rFont val="Aptos Narrow"/>
            <family val="2"/>
            <scheme val="minor"/>
          </rPr>
          <t>Introduzca la fecha prevista de adjudicación, en formato dd-mm-aaaa</t>
        </r>
      </text>
    </comment>
    <comment ref="F1161" authorId="1" shapeId="0" xr:uid="{21F432DE-9E77-400B-9208-827A74A3855E}">
      <text/>
    </comment>
    <comment ref="F1162" authorId="1" shapeId="0" xr:uid="{E68A7DCA-B10A-4E6F-9638-8510FAC763DE}">
      <text/>
    </comment>
    <comment ref="A1164" authorId="1" shapeId="0" xr:uid="{DA7F6DD2-84D5-416B-A7EB-68004A4CD514}">
      <text>
        <r>
          <rPr>
            <sz val="11"/>
            <color theme="1"/>
            <rFont val="Aptos Narrow"/>
            <family val="2"/>
            <scheme val="minor"/>
          </rPr>
          <t>Introduzca un codigo UNSPSC</t>
        </r>
      </text>
    </comment>
    <comment ref="B1164" authorId="1" shapeId="0" xr:uid="{3D0C39B6-45AD-49D6-A981-E0B5FDF722D0}">
      <text>
        <r>
          <rPr>
            <sz val="11"/>
            <color theme="1"/>
            <rFont val="Aptos Narrow"/>
            <family val="2"/>
            <scheme val="minor"/>
          </rPr>
          <t>Descripción calculada automáticamente a partir de código del artículo</t>
        </r>
      </text>
    </comment>
    <comment ref="C1164" authorId="1" shapeId="0" xr:uid="{92990A1D-B527-4F7A-A9AC-F08BFC391E23}">
      <text>
        <r>
          <rPr>
            <sz val="11"/>
            <color theme="1"/>
            <rFont val="Aptos Narrow"/>
            <family val="2"/>
            <scheme val="minor"/>
          </rPr>
          <t>Seleccione un valor de la lista</t>
        </r>
      </text>
    </comment>
    <comment ref="D1164" authorId="1" shapeId="0" xr:uid="{2CA70ECB-01F1-425B-97BB-4018319560C8}">
      <text>
        <r>
          <rPr>
            <sz val="11"/>
            <color theme="1"/>
            <rFont val="Aptos Narrow"/>
            <family val="2"/>
            <scheme val="minor"/>
          </rPr>
          <t>Introduzca un número con dos decimales como máximo. Debe ser igual o mayor a la "Cantidad Real Consumida"</t>
        </r>
      </text>
    </comment>
    <comment ref="E1164" authorId="1" shapeId="0" xr:uid="{DA5E022D-878E-4134-813F-A1C6709255D3}">
      <text>
        <r>
          <rPr>
            <sz val="11"/>
            <color theme="1"/>
            <rFont val="Aptos Narrow"/>
            <family val="2"/>
            <scheme val="minor"/>
          </rPr>
          <t>Introduzca un número con dos decimales como máximo</t>
        </r>
      </text>
    </comment>
    <comment ref="F1164" authorId="1" shapeId="0" xr:uid="{0F07B9D8-8044-42EB-A7FE-A32B3C8038F7}">
      <text>
        <r>
          <rPr>
            <sz val="11"/>
            <color theme="1"/>
            <rFont val="Aptos Narrow"/>
            <family val="2"/>
            <scheme val="minor"/>
          </rPr>
          <t>Monto calculado automáticamente por el sistema</t>
        </r>
      </text>
    </comment>
    <comment ref="A1198" authorId="1" shapeId="0" xr:uid="{03160FCE-5FE3-499B-BF91-CB6C385EAEE5}">
      <text>
        <r>
          <rPr>
            <sz val="11"/>
            <color theme="1"/>
            <rFont val="Aptos Narrow"/>
            <family val="2"/>
            <scheme val="minor"/>
          </rPr>
          <t>Introducir un texto con el nombre o referencia de la contratación</t>
        </r>
      </text>
    </comment>
    <comment ref="B1198" authorId="1" shapeId="0" xr:uid="{74D55940-1C52-4DF9-9AAD-ED4F1CA69287}">
      <text>
        <r>
          <rPr>
            <sz val="11"/>
            <color theme="1"/>
            <rFont val="Aptos Narrow"/>
            <family val="2"/>
            <scheme val="minor"/>
          </rPr>
          <t>Introduzca un texto con la finalidad de la contratación</t>
        </r>
      </text>
    </comment>
    <comment ref="C1198" authorId="1" shapeId="0" xr:uid="{496822CC-60D6-4C80-B2B1-3595D50E5373}">
      <text>
        <r>
          <rPr>
            <sz val="11"/>
            <color theme="1"/>
            <rFont val="Aptos Narrow"/>
            <family val="2"/>
            <scheme val="minor"/>
          </rPr>
          <t>Seleccionar un valor del listado</t>
        </r>
      </text>
    </comment>
    <comment ref="D1198" authorId="1" shapeId="0" xr:uid="{F045E078-E25D-458A-A5D2-18628B36D541}">
      <text>
        <r>
          <rPr>
            <sz val="11"/>
            <color theme="1"/>
            <rFont val="Aptos Narrow"/>
            <family val="2"/>
            <scheme val="minor"/>
          </rPr>
          <t>Seleccione el tipo de procedimiento</t>
        </r>
      </text>
    </comment>
    <comment ref="E1198" authorId="1" shapeId="0" xr:uid="{7DF4CEA8-2239-4096-BE0E-EF2BF1223338}">
      <text>
        <r>
          <rPr>
            <sz val="11"/>
            <color theme="1"/>
            <rFont val="Aptos Narrow"/>
            <family val="2"/>
            <scheme val="minor"/>
          </rPr>
          <t>Seleccione un valor de la lista</t>
        </r>
      </text>
    </comment>
    <comment ref="F1198" authorId="1" shapeId="0" xr:uid="{F2C68DF9-25A2-40AD-81E8-5B628E292571}">
      <text>
        <r>
          <rPr>
            <sz val="11"/>
            <color theme="1"/>
            <rFont val="Aptos Narrow"/>
            <family val="2"/>
            <scheme val="minor"/>
          </rPr>
          <t>Introduzca el código SNIP</t>
        </r>
      </text>
    </comment>
    <comment ref="C1199" authorId="1" shapeId="0" xr:uid="{7FE9BC5C-DCC7-4385-AA22-F20CC4A6E384}">
      <text>
        <r>
          <rPr>
            <sz val="11"/>
            <color theme="1"/>
            <rFont val="Aptos Narrow"/>
            <family val="2"/>
            <scheme val="minor"/>
          </rPr>
          <t>Introduzca la fecha de inicio del proceso, en formato dd-mm-aaaa</t>
        </r>
      </text>
    </comment>
    <comment ref="F1199" authorId="1" shapeId="0" xr:uid="{9540DC6E-69EB-4E36-AB00-60D72F6A2AE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00" authorId="1" shapeId="0" xr:uid="{64C40149-4F5A-4346-9F7F-5EAD2008BD56}">
      <text/>
    </comment>
    <comment ref="C1201" authorId="1" shapeId="0" xr:uid="{47914E9A-2B98-4802-946D-7AE26AD929E0}">
      <text>
        <r>
          <rPr>
            <sz val="11"/>
            <color theme="1"/>
            <rFont val="Aptos Narrow"/>
            <family val="2"/>
            <scheme val="minor"/>
          </rPr>
          <t>Introduzca la fecha prevista de adjudicación, en formato dd-mm-aaaa</t>
        </r>
      </text>
    </comment>
    <comment ref="F1201" authorId="1" shapeId="0" xr:uid="{E0F3EADE-3C07-4542-89C1-3D32FA8BD3C2}">
      <text/>
    </comment>
    <comment ref="F1202" authorId="1" shapeId="0" xr:uid="{EA256E98-64F2-4A66-86E1-473ABD13BA1B}">
      <text/>
    </comment>
    <comment ref="A1204" authorId="1" shapeId="0" xr:uid="{C1E9F7A8-745F-4E65-BAA5-A51666941FB5}">
      <text>
        <r>
          <rPr>
            <sz val="11"/>
            <color theme="1"/>
            <rFont val="Aptos Narrow"/>
            <family val="2"/>
            <scheme val="minor"/>
          </rPr>
          <t>Introduzca un codigo UNSPSC</t>
        </r>
      </text>
    </comment>
    <comment ref="B1204" authorId="1" shapeId="0" xr:uid="{0FBDB0DA-5481-45B6-8CFB-5FFDCA7B94C3}">
      <text>
        <r>
          <rPr>
            <sz val="11"/>
            <color theme="1"/>
            <rFont val="Aptos Narrow"/>
            <family val="2"/>
            <scheme val="minor"/>
          </rPr>
          <t>Descripción calculada automáticamente a partir de código del artículo</t>
        </r>
      </text>
    </comment>
    <comment ref="C1204" authorId="1" shapeId="0" xr:uid="{C01A03FC-8635-4E9A-939D-8030CC2C4AD4}">
      <text>
        <r>
          <rPr>
            <sz val="11"/>
            <color theme="1"/>
            <rFont val="Aptos Narrow"/>
            <family val="2"/>
            <scheme val="minor"/>
          </rPr>
          <t>Seleccione un valor de la lista</t>
        </r>
      </text>
    </comment>
    <comment ref="D1204" authorId="1" shapeId="0" xr:uid="{EE8F5AFF-A5E7-4FF7-8069-780BBE588C2B}">
      <text>
        <r>
          <rPr>
            <sz val="11"/>
            <color theme="1"/>
            <rFont val="Aptos Narrow"/>
            <family val="2"/>
            <scheme val="minor"/>
          </rPr>
          <t>Introduzca un número con dos decimales como máximo. Debe ser igual o mayor a la "Cantidad Real Consumida"</t>
        </r>
      </text>
    </comment>
    <comment ref="E1204" authorId="1" shapeId="0" xr:uid="{79AD88F8-EEA2-4E2E-B9DE-FA86AFFE2C21}">
      <text>
        <r>
          <rPr>
            <sz val="11"/>
            <color theme="1"/>
            <rFont val="Aptos Narrow"/>
            <family val="2"/>
            <scheme val="minor"/>
          </rPr>
          <t>Introduzca un número con dos decimales como máximo</t>
        </r>
      </text>
    </comment>
    <comment ref="F1204" authorId="1" shapeId="0" xr:uid="{3440CD27-757F-402B-8793-3EAD57136E0A}">
      <text>
        <r>
          <rPr>
            <sz val="11"/>
            <color theme="1"/>
            <rFont val="Aptos Narrow"/>
            <family val="2"/>
            <scheme val="minor"/>
          </rPr>
          <t>Monto calculado automáticamente por el sistema</t>
        </r>
      </text>
    </comment>
    <comment ref="A1238" authorId="1" shapeId="0" xr:uid="{AEEE90CD-C07F-4004-BA25-6F7F8ACB15EB}">
      <text>
        <r>
          <rPr>
            <sz val="11"/>
            <color theme="1"/>
            <rFont val="Aptos Narrow"/>
            <family val="2"/>
            <scheme val="minor"/>
          </rPr>
          <t>Introducir un texto con el nombre o referencia de la contratación</t>
        </r>
      </text>
    </comment>
    <comment ref="B1238" authorId="1" shapeId="0" xr:uid="{811A0E98-6573-415E-90D3-08E141A7C0DC}">
      <text>
        <r>
          <rPr>
            <sz val="11"/>
            <color theme="1"/>
            <rFont val="Aptos Narrow"/>
            <family val="2"/>
            <scheme val="minor"/>
          </rPr>
          <t>Introduzca un texto con la finalidad de la contratación</t>
        </r>
      </text>
    </comment>
    <comment ref="C1238" authorId="1" shapeId="0" xr:uid="{044DE254-3BED-47EC-9EA0-FE7E05C45DAC}">
      <text>
        <r>
          <rPr>
            <sz val="11"/>
            <color theme="1"/>
            <rFont val="Aptos Narrow"/>
            <family val="2"/>
            <scheme val="minor"/>
          </rPr>
          <t>Seleccionar un valor del listado</t>
        </r>
      </text>
    </comment>
    <comment ref="D1238" authorId="1" shapeId="0" xr:uid="{5FDE0608-10ED-436B-A838-E03C3E8B01E5}">
      <text>
        <r>
          <rPr>
            <sz val="11"/>
            <color theme="1"/>
            <rFont val="Aptos Narrow"/>
            <family val="2"/>
            <scheme val="minor"/>
          </rPr>
          <t>Seleccione el tipo de procedimiento</t>
        </r>
      </text>
    </comment>
    <comment ref="E1238" authorId="1" shapeId="0" xr:uid="{D916029F-B937-4604-9EB1-EE87A8180224}">
      <text>
        <r>
          <rPr>
            <sz val="11"/>
            <color theme="1"/>
            <rFont val="Aptos Narrow"/>
            <family val="2"/>
            <scheme val="minor"/>
          </rPr>
          <t>Seleccione un valor de la lista</t>
        </r>
      </text>
    </comment>
    <comment ref="F1238" authorId="1" shapeId="0" xr:uid="{8F4579B5-7162-4902-99A1-52393BE409A4}">
      <text>
        <r>
          <rPr>
            <sz val="11"/>
            <color theme="1"/>
            <rFont val="Aptos Narrow"/>
            <family val="2"/>
            <scheme val="minor"/>
          </rPr>
          <t>Introduzca el código SNIP</t>
        </r>
      </text>
    </comment>
    <comment ref="C1239" authorId="1" shapeId="0" xr:uid="{6464358B-501E-472B-A696-B085210A6C54}">
      <text>
        <r>
          <rPr>
            <sz val="11"/>
            <color theme="1"/>
            <rFont val="Aptos Narrow"/>
            <family val="2"/>
            <scheme val="minor"/>
          </rPr>
          <t>Introduzca la fecha de inicio del proceso, en formato dd-mm-aaaa</t>
        </r>
      </text>
    </comment>
    <comment ref="F1239" authorId="1" shapeId="0" xr:uid="{112F7EF3-152E-4CD3-9833-60F4C85A212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40" authorId="1" shapeId="0" xr:uid="{2365DEBA-59F8-45F2-81FE-586429B868FC}">
      <text/>
    </comment>
    <comment ref="C1241" authorId="1" shapeId="0" xr:uid="{B87C920C-3E04-44E8-95D1-50A8D683DF03}">
      <text>
        <r>
          <rPr>
            <sz val="11"/>
            <color theme="1"/>
            <rFont val="Aptos Narrow"/>
            <family val="2"/>
            <scheme val="minor"/>
          </rPr>
          <t>Introduzca la fecha prevista de adjudicación, en formato dd-mm-aaaa</t>
        </r>
      </text>
    </comment>
    <comment ref="F1241" authorId="1" shapeId="0" xr:uid="{6D53AF94-E629-49CF-BEB0-5D740DBE687C}">
      <text/>
    </comment>
    <comment ref="F1242" authorId="1" shapeId="0" xr:uid="{81F2E3FA-593E-40BC-9402-9FF827780819}">
      <text/>
    </comment>
    <comment ref="A1244" authorId="1" shapeId="0" xr:uid="{527056A7-6712-441B-85F8-2C46949ED0C1}">
      <text>
        <r>
          <rPr>
            <sz val="11"/>
            <color theme="1"/>
            <rFont val="Aptos Narrow"/>
            <family val="2"/>
            <scheme val="minor"/>
          </rPr>
          <t>Introduzca un codigo UNSPSC</t>
        </r>
      </text>
    </comment>
    <comment ref="B1244" authorId="1" shapeId="0" xr:uid="{8A6F16F3-1BBC-4DB3-A10B-CA947A622D43}">
      <text>
        <r>
          <rPr>
            <sz val="11"/>
            <color theme="1"/>
            <rFont val="Aptos Narrow"/>
            <family val="2"/>
            <scheme val="minor"/>
          </rPr>
          <t>Descripción calculada automáticamente a partir de código del artículo</t>
        </r>
      </text>
    </comment>
    <comment ref="C1244" authorId="1" shapeId="0" xr:uid="{799A1FBE-76A6-4B6A-BDB6-464770CEAFA2}">
      <text>
        <r>
          <rPr>
            <sz val="11"/>
            <color theme="1"/>
            <rFont val="Aptos Narrow"/>
            <family val="2"/>
            <scheme val="minor"/>
          </rPr>
          <t>Seleccione un valor de la lista</t>
        </r>
      </text>
    </comment>
    <comment ref="D1244" authorId="1" shapeId="0" xr:uid="{62BA607E-3175-42DC-BAC3-D08B315DA76B}">
      <text>
        <r>
          <rPr>
            <sz val="11"/>
            <color theme="1"/>
            <rFont val="Aptos Narrow"/>
            <family val="2"/>
            <scheme val="minor"/>
          </rPr>
          <t>Introduzca un número con dos decimales como máximo. Debe ser igual o mayor a la "Cantidad Real Consumida"</t>
        </r>
      </text>
    </comment>
    <comment ref="E1244" authorId="1" shapeId="0" xr:uid="{97F0A2B2-D373-490D-A964-D45BA86866BF}">
      <text>
        <r>
          <rPr>
            <sz val="11"/>
            <color theme="1"/>
            <rFont val="Aptos Narrow"/>
            <family val="2"/>
            <scheme val="minor"/>
          </rPr>
          <t>Introduzca un número con dos decimales como máximo</t>
        </r>
      </text>
    </comment>
    <comment ref="F1244" authorId="1" shapeId="0" xr:uid="{573F0AB1-8587-4B16-B8AE-505824D30CEB}">
      <text>
        <r>
          <rPr>
            <sz val="11"/>
            <color theme="1"/>
            <rFont val="Aptos Narrow"/>
            <family val="2"/>
            <scheme val="minor"/>
          </rPr>
          <t>Monto calculado automáticamente por el sistema</t>
        </r>
      </text>
    </comment>
    <comment ref="A1266" authorId="1" shapeId="0" xr:uid="{5ADC83B0-397A-4AEF-A404-5239620CB51A}">
      <text>
        <r>
          <rPr>
            <sz val="11"/>
            <color theme="1"/>
            <rFont val="Aptos Narrow"/>
            <family val="2"/>
            <scheme val="minor"/>
          </rPr>
          <t>Introducir un texto con el nombre o referencia de la contratación</t>
        </r>
      </text>
    </comment>
    <comment ref="B1266" authorId="1" shapeId="0" xr:uid="{D52C3F5E-AF5D-45F3-B81F-A8BCC1CC641D}">
      <text>
        <r>
          <rPr>
            <sz val="11"/>
            <color theme="1"/>
            <rFont val="Aptos Narrow"/>
            <family val="2"/>
            <scheme val="minor"/>
          </rPr>
          <t>Introduzca un texto con la finalidad de la contratación</t>
        </r>
      </text>
    </comment>
    <comment ref="C1266" authorId="1" shapeId="0" xr:uid="{E6EB124A-CA0B-4D5D-9F29-87A25C3F48E9}">
      <text>
        <r>
          <rPr>
            <sz val="11"/>
            <color theme="1"/>
            <rFont val="Aptos Narrow"/>
            <family val="2"/>
            <scheme val="minor"/>
          </rPr>
          <t>Seleccionar un valor del listado</t>
        </r>
      </text>
    </comment>
    <comment ref="D1266" authorId="1" shapeId="0" xr:uid="{66EBC43B-94A8-4E43-9BDD-4139AA71C707}">
      <text>
        <r>
          <rPr>
            <sz val="11"/>
            <color theme="1"/>
            <rFont val="Aptos Narrow"/>
            <family val="2"/>
            <scheme val="minor"/>
          </rPr>
          <t>Seleccione el tipo de procedimiento</t>
        </r>
      </text>
    </comment>
    <comment ref="E1266" authorId="1" shapeId="0" xr:uid="{D1B4F003-53FE-49D0-859D-41827FF1BD9F}">
      <text>
        <r>
          <rPr>
            <sz val="11"/>
            <color theme="1"/>
            <rFont val="Aptos Narrow"/>
            <family val="2"/>
            <scheme val="minor"/>
          </rPr>
          <t>Seleccione un valor de la lista</t>
        </r>
      </text>
    </comment>
    <comment ref="F1266" authorId="1" shapeId="0" xr:uid="{341B9C5F-7675-4DCC-B470-62282DC1BB21}">
      <text>
        <r>
          <rPr>
            <sz val="11"/>
            <color theme="1"/>
            <rFont val="Aptos Narrow"/>
            <family val="2"/>
            <scheme val="minor"/>
          </rPr>
          <t>Introduzca el código SNIP</t>
        </r>
      </text>
    </comment>
    <comment ref="C1267" authorId="1" shapeId="0" xr:uid="{90F42B2B-C5F1-41FE-A5D7-CC4DE70E3920}">
      <text>
        <r>
          <rPr>
            <sz val="11"/>
            <color theme="1"/>
            <rFont val="Aptos Narrow"/>
            <family val="2"/>
            <scheme val="minor"/>
          </rPr>
          <t>Introduzca la fecha de inicio del proceso, en formato dd-mm-aaaa</t>
        </r>
      </text>
    </comment>
    <comment ref="F1267" authorId="1" shapeId="0" xr:uid="{1428152D-A117-4107-97CE-2221873BE1D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68" authorId="1" shapeId="0" xr:uid="{562BB10D-EB46-422D-A4E6-5DF60EF3C9D6}">
      <text/>
    </comment>
    <comment ref="C1269" authorId="1" shapeId="0" xr:uid="{E1D035FC-079F-42B6-A9FA-C540BA081817}">
      <text>
        <r>
          <rPr>
            <sz val="11"/>
            <color theme="1"/>
            <rFont val="Aptos Narrow"/>
            <family val="2"/>
            <scheme val="minor"/>
          </rPr>
          <t>Introduzca la fecha prevista de adjudicación, en formato dd-mm-aaaa</t>
        </r>
      </text>
    </comment>
    <comment ref="F1269" authorId="1" shapeId="0" xr:uid="{CE9EDEAA-A44A-46C1-91B4-42DE86CA36F2}">
      <text/>
    </comment>
    <comment ref="F1270" authorId="1" shapeId="0" xr:uid="{5CB9B3A9-BDF0-4070-BFEC-8F4A5A7B80EF}">
      <text/>
    </comment>
    <comment ref="A1272" authorId="1" shapeId="0" xr:uid="{AF3396F6-CA43-4128-9FF3-047B60FA4B97}">
      <text>
        <r>
          <rPr>
            <sz val="11"/>
            <color theme="1"/>
            <rFont val="Aptos Narrow"/>
            <family val="2"/>
            <scheme val="minor"/>
          </rPr>
          <t>Introduzca un codigo UNSPSC</t>
        </r>
      </text>
    </comment>
    <comment ref="B1272" authorId="1" shapeId="0" xr:uid="{C8051C9C-4D8C-4095-AEDC-5231661A361D}">
      <text>
        <r>
          <rPr>
            <sz val="11"/>
            <color theme="1"/>
            <rFont val="Aptos Narrow"/>
            <family val="2"/>
            <scheme val="minor"/>
          </rPr>
          <t>Descripción calculada automáticamente a partir de código del artículo</t>
        </r>
      </text>
    </comment>
    <comment ref="C1272" authorId="1" shapeId="0" xr:uid="{2692A4C4-6394-48D4-90BB-5DF842485DCF}">
      <text>
        <r>
          <rPr>
            <sz val="11"/>
            <color theme="1"/>
            <rFont val="Aptos Narrow"/>
            <family val="2"/>
            <scheme val="minor"/>
          </rPr>
          <t>Seleccione un valor de la lista</t>
        </r>
      </text>
    </comment>
    <comment ref="D1272" authorId="1" shapeId="0" xr:uid="{3578989E-E61C-43F5-AE74-0F2B853187F4}">
      <text>
        <r>
          <rPr>
            <sz val="11"/>
            <color theme="1"/>
            <rFont val="Aptos Narrow"/>
            <family val="2"/>
            <scheme val="minor"/>
          </rPr>
          <t>Introduzca un número con dos decimales como máximo. Debe ser igual o mayor a la "Cantidad Real Consumida"</t>
        </r>
      </text>
    </comment>
    <comment ref="E1272" authorId="1" shapeId="0" xr:uid="{90AEF08D-D34A-4AF8-9A97-AFB619F1C75F}">
      <text>
        <r>
          <rPr>
            <sz val="11"/>
            <color theme="1"/>
            <rFont val="Aptos Narrow"/>
            <family val="2"/>
            <scheme val="minor"/>
          </rPr>
          <t>Introduzca un número con dos decimales como máximo</t>
        </r>
      </text>
    </comment>
    <comment ref="F1272" authorId="1" shapeId="0" xr:uid="{D2D3E6C0-8756-42CD-B666-37472BF432EF}">
      <text>
        <r>
          <rPr>
            <sz val="11"/>
            <color theme="1"/>
            <rFont val="Aptos Narrow"/>
            <family val="2"/>
            <scheme val="minor"/>
          </rPr>
          <t>Monto calculado automáticamente por el sistema</t>
        </r>
      </text>
    </comment>
    <comment ref="A1284" authorId="1" shapeId="0" xr:uid="{BFF99A41-F7B2-412D-90E6-D39D81723691}">
      <text>
        <r>
          <rPr>
            <sz val="11"/>
            <color theme="1"/>
            <rFont val="Aptos Narrow"/>
            <family val="2"/>
            <scheme val="minor"/>
          </rPr>
          <t>Introducir un texto con el nombre o referencia de la contratación</t>
        </r>
      </text>
    </comment>
    <comment ref="B1284" authorId="1" shapeId="0" xr:uid="{86F80A35-E500-407A-A5B4-36603A065B47}">
      <text>
        <r>
          <rPr>
            <sz val="11"/>
            <color theme="1"/>
            <rFont val="Aptos Narrow"/>
            <family val="2"/>
            <scheme val="minor"/>
          </rPr>
          <t>Introduzca un texto con la finalidad de la contratación</t>
        </r>
      </text>
    </comment>
    <comment ref="C1284" authorId="1" shapeId="0" xr:uid="{3BB697DC-7158-4AE8-A0A7-E7060D630405}">
      <text>
        <r>
          <rPr>
            <sz val="11"/>
            <color theme="1"/>
            <rFont val="Aptos Narrow"/>
            <family val="2"/>
            <scheme val="minor"/>
          </rPr>
          <t>Seleccionar un valor del listado</t>
        </r>
      </text>
    </comment>
    <comment ref="D1284" authorId="1" shapeId="0" xr:uid="{5F3BE40C-D465-4C1C-819A-6BB2A9A93A13}">
      <text>
        <r>
          <rPr>
            <sz val="11"/>
            <color theme="1"/>
            <rFont val="Aptos Narrow"/>
            <family val="2"/>
            <scheme val="minor"/>
          </rPr>
          <t>Seleccione el tipo de procedimiento</t>
        </r>
      </text>
    </comment>
    <comment ref="E1284" authorId="1" shapeId="0" xr:uid="{CB324FC4-358A-4BD6-AB6C-99F2303F815B}">
      <text>
        <r>
          <rPr>
            <sz val="11"/>
            <color theme="1"/>
            <rFont val="Aptos Narrow"/>
            <family val="2"/>
            <scheme val="minor"/>
          </rPr>
          <t>Seleccione un valor de la lista</t>
        </r>
      </text>
    </comment>
    <comment ref="F1284" authorId="1" shapeId="0" xr:uid="{8E649DAD-0562-49C8-B5FA-8374846CD401}">
      <text>
        <r>
          <rPr>
            <sz val="11"/>
            <color theme="1"/>
            <rFont val="Aptos Narrow"/>
            <family val="2"/>
            <scheme val="minor"/>
          </rPr>
          <t>Introduzca el código SNIP</t>
        </r>
      </text>
    </comment>
    <comment ref="C1285" authorId="1" shapeId="0" xr:uid="{7579F66F-A841-40E3-864E-98CDFE6BC942}">
      <text>
        <r>
          <rPr>
            <sz val="11"/>
            <color theme="1"/>
            <rFont val="Aptos Narrow"/>
            <family val="2"/>
            <scheme val="minor"/>
          </rPr>
          <t>Introduzca la fecha de inicio del proceso, en formato dd-mm-aaaa</t>
        </r>
      </text>
    </comment>
    <comment ref="F1285" authorId="1" shapeId="0" xr:uid="{BBE86B0D-DAC3-4DC3-A0BE-203024EB937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86" authorId="1" shapeId="0" xr:uid="{9870C1A1-9B82-494B-BB97-30E4B31D4D60}">
      <text/>
    </comment>
    <comment ref="C1287" authorId="1" shapeId="0" xr:uid="{96D927FB-6C62-4EEB-8C3B-DD7D9C5B73DF}">
      <text>
        <r>
          <rPr>
            <sz val="11"/>
            <color theme="1"/>
            <rFont val="Aptos Narrow"/>
            <family val="2"/>
            <scheme val="minor"/>
          </rPr>
          <t>Introduzca la fecha prevista de adjudicación, en formato dd-mm-aaaa</t>
        </r>
      </text>
    </comment>
    <comment ref="F1287" authorId="1" shapeId="0" xr:uid="{EF804574-1792-49DC-8AC3-0CB99B44319F}">
      <text/>
    </comment>
    <comment ref="F1288" authorId="1" shapeId="0" xr:uid="{D4F5A035-4F9B-4AEB-8963-F9C1C7F86CB1}">
      <text/>
    </comment>
    <comment ref="A1290" authorId="1" shapeId="0" xr:uid="{4B6D6C8D-AF4A-48D5-A0D9-A93922B4DF02}">
      <text>
        <r>
          <rPr>
            <sz val="11"/>
            <color theme="1"/>
            <rFont val="Aptos Narrow"/>
            <family val="2"/>
            <scheme val="minor"/>
          </rPr>
          <t>Introduzca un codigo UNSPSC</t>
        </r>
      </text>
    </comment>
    <comment ref="B1290" authorId="1" shapeId="0" xr:uid="{4813E0F0-8AD1-4DDB-9621-F3F8AB0D0414}">
      <text>
        <r>
          <rPr>
            <sz val="11"/>
            <color theme="1"/>
            <rFont val="Aptos Narrow"/>
            <family val="2"/>
            <scheme val="minor"/>
          </rPr>
          <t>Descripción calculada automáticamente a partir de código del artículo</t>
        </r>
      </text>
    </comment>
    <comment ref="C1290" authorId="1" shapeId="0" xr:uid="{2A5689CC-F187-47F7-8448-B1B0328240B9}">
      <text>
        <r>
          <rPr>
            <sz val="11"/>
            <color theme="1"/>
            <rFont val="Aptos Narrow"/>
            <family val="2"/>
            <scheme val="minor"/>
          </rPr>
          <t>Seleccione un valor de la lista</t>
        </r>
      </text>
    </comment>
    <comment ref="D1290" authorId="1" shapeId="0" xr:uid="{7BB17EDF-A3A7-4EAA-946B-169C71B19D7F}">
      <text>
        <r>
          <rPr>
            <sz val="11"/>
            <color theme="1"/>
            <rFont val="Aptos Narrow"/>
            <family val="2"/>
            <scheme val="minor"/>
          </rPr>
          <t>Introduzca un número con dos decimales como máximo. Debe ser igual o mayor a la "Cantidad Real Consumida"</t>
        </r>
      </text>
    </comment>
    <comment ref="E1290" authorId="1" shapeId="0" xr:uid="{81BE04D9-F964-43CD-B8FD-0B0A656F01E4}">
      <text>
        <r>
          <rPr>
            <sz val="11"/>
            <color theme="1"/>
            <rFont val="Aptos Narrow"/>
            <family val="2"/>
            <scheme val="minor"/>
          </rPr>
          <t>Introduzca un número con dos decimales como máximo</t>
        </r>
      </text>
    </comment>
    <comment ref="F1290" authorId="1" shapeId="0" xr:uid="{3B0C3A0B-ED3E-441E-BB73-A07997300DA1}">
      <text>
        <r>
          <rPr>
            <sz val="11"/>
            <color theme="1"/>
            <rFont val="Aptos Narrow"/>
            <family val="2"/>
            <scheme val="minor"/>
          </rPr>
          <t>Monto calculado automáticamente por el sistema</t>
        </r>
      </text>
    </comment>
    <comment ref="A1302" authorId="1" shapeId="0" xr:uid="{F82D7F5A-2BCA-4AE1-8CF9-C4011A531F13}">
      <text>
        <r>
          <rPr>
            <sz val="11"/>
            <color theme="1"/>
            <rFont val="Aptos Narrow"/>
            <family val="2"/>
            <scheme val="minor"/>
          </rPr>
          <t>Introducir un texto con el nombre o referencia de la contratación</t>
        </r>
      </text>
    </comment>
    <comment ref="B1302" authorId="1" shapeId="0" xr:uid="{F62A4287-6FA9-48DA-ACA8-1FDCF3280377}">
      <text>
        <r>
          <rPr>
            <sz val="11"/>
            <color theme="1"/>
            <rFont val="Aptos Narrow"/>
            <family val="2"/>
            <scheme val="minor"/>
          </rPr>
          <t>Introduzca un texto con la finalidad de la contratación</t>
        </r>
      </text>
    </comment>
    <comment ref="C1302" authorId="1" shapeId="0" xr:uid="{1B2AAA4A-95A6-466C-8376-6C6455E8B77A}">
      <text>
        <r>
          <rPr>
            <sz val="11"/>
            <color theme="1"/>
            <rFont val="Aptos Narrow"/>
            <family val="2"/>
            <scheme val="minor"/>
          </rPr>
          <t>Seleccionar un valor del listado</t>
        </r>
      </text>
    </comment>
    <comment ref="D1302" authorId="1" shapeId="0" xr:uid="{8B1A4707-25EC-48F1-9BC1-AAA4CF0A033E}">
      <text>
        <r>
          <rPr>
            <sz val="11"/>
            <color theme="1"/>
            <rFont val="Aptos Narrow"/>
            <family val="2"/>
            <scheme val="minor"/>
          </rPr>
          <t>Seleccione el tipo de procedimiento</t>
        </r>
      </text>
    </comment>
    <comment ref="E1302" authorId="1" shapeId="0" xr:uid="{1A0412C8-ABC9-4154-A394-4F59090312D0}">
      <text>
        <r>
          <rPr>
            <sz val="11"/>
            <color theme="1"/>
            <rFont val="Aptos Narrow"/>
            <family val="2"/>
            <scheme val="minor"/>
          </rPr>
          <t>Seleccione un valor de la lista</t>
        </r>
      </text>
    </comment>
    <comment ref="F1302" authorId="1" shapeId="0" xr:uid="{3E2D86C4-28B3-43A9-9B35-979F40CFB80C}">
      <text>
        <r>
          <rPr>
            <sz val="11"/>
            <color theme="1"/>
            <rFont val="Aptos Narrow"/>
            <family val="2"/>
            <scheme val="minor"/>
          </rPr>
          <t>Introduzca el código SNIP</t>
        </r>
      </text>
    </comment>
    <comment ref="C1303" authorId="1" shapeId="0" xr:uid="{8ABFF83A-15F6-4875-8A30-F5D0943A1881}">
      <text>
        <r>
          <rPr>
            <sz val="11"/>
            <color theme="1"/>
            <rFont val="Aptos Narrow"/>
            <family val="2"/>
            <scheme val="minor"/>
          </rPr>
          <t>Introduzca la fecha de inicio del proceso, en formato dd-mm-aaaa</t>
        </r>
      </text>
    </comment>
    <comment ref="F1303" authorId="1" shapeId="0" xr:uid="{E9CC6273-8495-46DD-8B57-264C2E71EBC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04" authorId="1" shapeId="0" xr:uid="{E2A5AE3E-215D-4C49-89AD-3EBD0D603E57}">
      <text/>
    </comment>
    <comment ref="C1305" authorId="1" shapeId="0" xr:uid="{4BE0A700-3C73-4CA7-A2F9-396D91F30274}">
      <text>
        <r>
          <rPr>
            <sz val="11"/>
            <color theme="1"/>
            <rFont val="Aptos Narrow"/>
            <family val="2"/>
            <scheme val="minor"/>
          </rPr>
          <t>Introduzca la fecha prevista de adjudicación, en formato dd-mm-aaaa</t>
        </r>
      </text>
    </comment>
    <comment ref="F1305" authorId="1" shapeId="0" xr:uid="{CE4D9185-476A-41F2-97E8-53F2ED423CCF}">
      <text/>
    </comment>
    <comment ref="F1306" authorId="1" shapeId="0" xr:uid="{E90A0DE1-FC65-402F-8774-FA2D924DCEAB}">
      <text/>
    </comment>
    <comment ref="A1308" authorId="1" shapeId="0" xr:uid="{E1EAA8EA-C70E-4377-B5DD-8946EE154133}">
      <text>
        <r>
          <rPr>
            <sz val="11"/>
            <color theme="1"/>
            <rFont val="Aptos Narrow"/>
            <family val="2"/>
            <scheme val="minor"/>
          </rPr>
          <t>Introduzca un codigo UNSPSC</t>
        </r>
      </text>
    </comment>
    <comment ref="B1308" authorId="1" shapeId="0" xr:uid="{2A4C688A-E643-42BC-82D0-5967F06EE804}">
      <text>
        <r>
          <rPr>
            <sz val="11"/>
            <color theme="1"/>
            <rFont val="Aptos Narrow"/>
            <family val="2"/>
            <scheme val="minor"/>
          </rPr>
          <t>Descripción calculada automáticamente a partir de código del artículo</t>
        </r>
      </text>
    </comment>
    <comment ref="C1308" authorId="1" shapeId="0" xr:uid="{73FDE649-DACF-4628-BC0C-689DDFC9ADE1}">
      <text>
        <r>
          <rPr>
            <sz val="11"/>
            <color theme="1"/>
            <rFont val="Aptos Narrow"/>
            <family val="2"/>
            <scheme val="minor"/>
          </rPr>
          <t>Seleccione un valor de la lista</t>
        </r>
      </text>
    </comment>
    <comment ref="D1308" authorId="1" shapeId="0" xr:uid="{C0D8C895-55FC-4935-90F8-638D4A4C31FF}">
      <text>
        <r>
          <rPr>
            <sz val="11"/>
            <color theme="1"/>
            <rFont val="Aptos Narrow"/>
            <family val="2"/>
            <scheme val="minor"/>
          </rPr>
          <t>Introduzca un número con dos decimales como máximo. Debe ser igual o mayor a la "Cantidad Real Consumida"</t>
        </r>
      </text>
    </comment>
    <comment ref="E1308" authorId="1" shapeId="0" xr:uid="{95F75BD9-D8AF-4CD5-ADA8-1EA68E63CACE}">
      <text>
        <r>
          <rPr>
            <sz val="11"/>
            <color theme="1"/>
            <rFont val="Aptos Narrow"/>
            <family val="2"/>
            <scheme val="minor"/>
          </rPr>
          <t>Introduzca un número con dos decimales como máximo</t>
        </r>
      </text>
    </comment>
    <comment ref="F1308" authorId="1" shapeId="0" xr:uid="{D7C01350-2E76-4ADA-B9F2-C77F208DB12A}">
      <text>
        <r>
          <rPr>
            <sz val="11"/>
            <color theme="1"/>
            <rFont val="Aptos Narrow"/>
            <family val="2"/>
            <scheme val="minor"/>
          </rPr>
          <t>Monto calculado automáticamente por el sistema</t>
        </r>
      </text>
    </comment>
    <comment ref="A1318" authorId="1" shapeId="0" xr:uid="{C9A8E956-AB26-43AB-A4AB-C8B2C5A78B0D}">
      <text>
        <r>
          <rPr>
            <sz val="11"/>
            <color theme="1"/>
            <rFont val="Aptos Narrow"/>
            <family val="2"/>
            <scheme val="minor"/>
          </rPr>
          <t>Introducir un texto con el nombre o referencia de la contratación</t>
        </r>
      </text>
    </comment>
    <comment ref="B1318" authorId="1" shapeId="0" xr:uid="{D726E42D-FB17-4065-9A69-6161086D5A6E}">
      <text>
        <r>
          <rPr>
            <sz val="11"/>
            <color theme="1"/>
            <rFont val="Aptos Narrow"/>
            <family val="2"/>
            <scheme val="minor"/>
          </rPr>
          <t>Introduzca un texto con la finalidad de la contratación</t>
        </r>
      </text>
    </comment>
    <comment ref="C1318" authorId="1" shapeId="0" xr:uid="{552AB843-AEBB-4251-8204-978F01802802}">
      <text>
        <r>
          <rPr>
            <sz val="11"/>
            <color theme="1"/>
            <rFont val="Aptos Narrow"/>
            <family val="2"/>
            <scheme val="minor"/>
          </rPr>
          <t>Seleccionar un valor del listado</t>
        </r>
      </text>
    </comment>
    <comment ref="D1318" authorId="1" shapeId="0" xr:uid="{E4E0704D-22FD-4C10-A3CD-A5800B54E38D}">
      <text>
        <r>
          <rPr>
            <sz val="11"/>
            <color theme="1"/>
            <rFont val="Aptos Narrow"/>
            <family val="2"/>
            <scheme val="minor"/>
          </rPr>
          <t>Seleccione el tipo de procedimiento</t>
        </r>
      </text>
    </comment>
    <comment ref="E1318" authorId="1" shapeId="0" xr:uid="{8FA4DD4F-9A24-4CBD-821E-8BE06E63F076}">
      <text>
        <r>
          <rPr>
            <sz val="11"/>
            <color theme="1"/>
            <rFont val="Aptos Narrow"/>
            <family val="2"/>
            <scheme val="minor"/>
          </rPr>
          <t>Seleccione un valor de la lista</t>
        </r>
      </text>
    </comment>
    <comment ref="F1318" authorId="1" shapeId="0" xr:uid="{6DF3D242-7C68-4509-8F6E-CEEDBEC97F9D}">
      <text>
        <r>
          <rPr>
            <sz val="11"/>
            <color theme="1"/>
            <rFont val="Aptos Narrow"/>
            <family val="2"/>
            <scheme val="minor"/>
          </rPr>
          <t>Introduzca el código SNIP</t>
        </r>
      </text>
    </comment>
    <comment ref="C1319" authorId="1" shapeId="0" xr:uid="{842F4F7E-5AA2-478B-A47C-7862CB297906}">
      <text>
        <r>
          <rPr>
            <sz val="11"/>
            <color theme="1"/>
            <rFont val="Aptos Narrow"/>
            <family val="2"/>
            <scheme val="minor"/>
          </rPr>
          <t>Introduzca la fecha de inicio del proceso, en formato dd-mm-aaaa</t>
        </r>
      </text>
    </comment>
    <comment ref="F1319" authorId="1" shapeId="0" xr:uid="{8C0653B4-2070-44C4-9BE6-8878E8F6F3A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20" authorId="1" shapeId="0" xr:uid="{02F1CC5B-C9DA-4D14-9EAA-26D57390B984}">
      <text/>
    </comment>
    <comment ref="C1321" authorId="1" shapeId="0" xr:uid="{9C69F49C-D854-424F-9C8E-B5C0C625B6B3}">
      <text>
        <r>
          <rPr>
            <sz val="11"/>
            <color theme="1"/>
            <rFont val="Aptos Narrow"/>
            <family val="2"/>
            <scheme val="minor"/>
          </rPr>
          <t>Introduzca la fecha prevista de adjudicación, en formato dd-mm-aaaa</t>
        </r>
      </text>
    </comment>
    <comment ref="F1321" authorId="1" shapeId="0" xr:uid="{063AA259-BFA9-493F-A589-1481677111E3}">
      <text/>
    </comment>
    <comment ref="F1322" authorId="1" shapeId="0" xr:uid="{C7DA88E9-F031-4BE5-A8B6-46AE30F87F49}">
      <text/>
    </comment>
    <comment ref="A1324" authorId="1" shapeId="0" xr:uid="{F5861C63-A048-42CC-9C3A-E639CCF8801C}">
      <text>
        <r>
          <rPr>
            <sz val="11"/>
            <color theme="1"/>
            <rFont val="Aptos Narrow"/>
            <family val="2"/>
            <scheme val="minor"/>
          </rPr>
          <t>Introduzca un codigo UNSPSC</t>
        </r>
      </text>
    </comment>
    <comment ref="B1324" authorId="1" shapeId="0" xr:uid="{2E619819-436F-4ADB-8888-0A2B74D09F9C}">
      <text>
        <r>
          <rPr>
            <sz val="11"/>
            <color theme="1"/>
            <rFont val="Aptos Narrow"/>
            <family val="2"/>
            <scheme val="minor"/>
          </rPr>
          <t>Descripción calculada automáticamente a partir de código del artículo</t>
        </r>
      </text>
    </comment>
    <comment ref="C1324" authorId="1" shapeId="0" xr:uid="{541C1CCD-57A2-425D-BABF-AF78DD367C9F}">
      <text>
        <r>
          <rPr>
            <sz val="11"/>
            <color theme="1"/>
            <rFont val="Aptos Narrow"/>
            <family val="2"/>
            <scheme val="minor"/>
          </rPr>
          <t>Seleccione un valor de la lista</t>
        </r>
      </text>
    </comment>
    <comment ref="D1324" authorId="1" shapeId="0" xr:uid="{73BD5B7D-F188-4A8B-8AB7-09CE952D2581}">
      <text>
        <r>
          <rPr>
            <sz val="11"/>
            <color theme="1"/>
            <rFont val="Aptos Narrow"/>
            <family val="2"/>
            <scheme val="minor"/>
          </rPr>
          <t>Introduzca un número con dos decimales como máximo. Debe ser igual o mayor a la "Cantidad Real Consumida"</t>
        </r>
      </text>
    </comment>
    <comment ref="E1324" authorId="1" shapeId="0" xr:uid="{480BC044-96A2-4598-B063-9B96A1F62B9D}">
      <text>
        <r>
          <rPr>
            <sz val="11"/>
            <color theme="1"/>
            <rFont val="Aptos Narrow"/>
            <family val="2"/>
            <scheme val="minor"/>
          </rPr>
          <t>Introduzca un número con dos decimales como máximo</t>
        </r>
      </text>
    </comment>
    <comment ref="F1324" authorId="1" shapeId="0" xr:uid="{1795FA3B-72E0-45C8-9CAF-F9DC1BF6C06A}">
      <text>
        <r>
          <rPr>
            <sz val="11"/>
            <color theme="1"/>
            <rFont val="Aptos Narrow"/>
            <family val="2"/>
            <scheme val="minor"/>
          </rPr>
          <t>Monto calculado automáticamente por el sistema</t>
        </r>
      </text>
    </comment>
    <comment ref="A1330" authorId="1" shapeId="0" xr:uid="{6704ECDD-8039-4FFA-87E6-15C2145330F1}">
      <text>
        <r>
          <rPr>
            <sz val="11"/>
            <color theme="1"/>
            <rFont val="Aptos Narrow"/>
            <family val="2"/>
            <scheme val="minor"/>
          </rPr>
          <t>Introducir un texto con el nombre o referencia de la contratación</t>
        </r>
      </text>
    </comment>
    <comment ref="B1330" authorId="1" shapeId="0" xr:uid="{4461F188-4F31-41CE-B2FC-09AAC666F033}">
      <text>
        <r>
          <rPr>
            <sz val="11"/>
            <color theme="1"/>
            <rFont val="Aptos Narrow"/>
            <family val="2"/>
            <scheme val="minor"/>
          </rPr>
          <t>Introduzca un texto con la finalidad de la contratación</t>
        </r>
      </text>
    </comment>
    <comment ref="C1330" authorId="1" shapeId="0" xr:uid="{D86BE424-B721-40B9-B843-136FF79C93F1}">
      <text>
        <r>
          <rPr>
            <sz val="11"/>
            <color theme="1"/>
            <rFont val="Aptos Narrow"/>
            <family val="2"/>
            <scheme val="minor"/>
          </rPr>
          <t>Seleccionar un valor del listado</t>
        </r>
      </text>
    </comment>
    <comment ref="D1330" authorId="1" shapeId="0" xr:uid="{CA1A6B98-5D3B-4623-9F9B-A2E70C22E576}">
      <text>
        <r>
          <rPr>
            <sz val="11"/>
            <color theme="1"/>
            <rFont val="Aptos Narrow"/>
            <family val="2"/>
            <scheme val="minor"/>
          </rPr>
          <t>Seleccione el tipo de procedimiento</t>
        </r>
      </text>
    </comment>
    <comment ref="E1330" authorId="1" shapeId="0" xr:uid="{002F94FD-AB63-4CF0-A85A-62E4A3758D17}">
      <text>
        <r>
          <rPr>
            <sz val="11"/>
            <color theme="1"/>
            <rFont val="Aptos Narrow"/>
            <family val="2"/>
            <scheme val="minor"/>
          </rPr>
          <t>Seleccione un valor de la lista</t>
        </r>
      </text>
    </comment>
    <comment ref="F1330" authorId="1" shapeId="0" xr:uid="{99C30393-09ED-463A-BB78-0FF40ED8FCCD}">
      <text>
        <r>
          <rPr>
            <sz val="11"/>
            <color theme="1"/>
            <rFont val="Aptos Narrow"/>
            <family val="2"/>
            <scheme val="minor"/>
          </rPr>
          <t>Introduzca el código SNIP</t>
        </r>
      </text>
    </comment>
    <comment ref="C1331" authorId="1" shapeId="0" xr:uid="{4417D81E-2B36-4A67-ADF0-4E528715BBEF}">
      <text>
        <r>
          <rPr>
            <sz val="11"/>
            <color theme="1"/>
            <rFont val="Aptos Narrow"/>
            <family val="2"/>
            <scheme val="minor"/>
          </rPr>
          <t>Introduzca la fecha de inicio del proceso, en formato dd-mm-aaaa</t>
        </r>
      </text>
    </comment>
    <comment ref="F1331" authorId="1" shapeId="0" xr:uid="{8BC54434-B4DA-4300-9A66-32517CD794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32" authorId="1" shapeId="0" xr:uid="{689C8245-8E38-48E8-8BBA-E0DB3C9A427F}">
      <text/>
    </comment>
    <comment ref="C1333" authorId="1" shapeId="0" xr:uid="{48E2F1A7-F762-4B02-80EB-6E000D96F828}">
      <text>
        <r>
          <rPr>
            <sz val="11"/>
            <color theme="1"/>
            <rFont val="Aptos Narrow"/>
            <family val="2"/>
            <scheme val="minor"/>
          </rPr>
          <t>Introduzca la fecha prevista de adjudicación, en formato dd-mm-aaaa</t>
        </r>
      </text>
    </comment>
    <comment ref="F1333" authorId="1" shapeId="0" xr:uid="{162B881D-50EC-489E-B684-D2F0E61E470E}">
      <text/>
    </comment>
    <comment ref="F1334" authorId="1" shapeId="0" xr:uid="{60891B08-98CD-4986-B60F-69FD8D0A21B9}">
      <text/>
    </comment>
    <comment ref="A1336" authorId="1" shapeId="0" xr:uid="{FF43E503-5B5D-410B-A888-E39D200ED9AA}">
      <text>
        <r>
          <rPr>
            <sz val="11"/>
            <color theme="1"/>
            <rFont val="Aptos Narrow"/>
            <family val="2"/>
            <scheme val="minor"/>
          </rPr>
          <t>Introduzca un codigo UNSPSC</t>
        </r>
      </text>
    </comment>
    <comment ref="B1336" authorId="1" shapeId="0" xr:uid="{9215EB2A-7741-43A2-9E9F-FA68E1615C9E}">
      <text>
        <r>
          <rPr>
            <sz val="11"/>
            <color theme="1"/>
            <rFont val="Aptos Narrow"/>
            <family val="2"/>
            <scheme val="minor"/>
          </rPr>
          <t>Descripción calculada automáticamente a partir de código del artículo</t>
        </r>
      </text>
    </comment>
    <comment ref="C1336" authorId="1" shapeId="0" xr:uid="{79D336B9-7F01-4627-AC32-02632856D1C8}">
      <text>
        <r>
          <rPr>
            <sz val="11"/>
            <color theme="1"/>
            <rFont val="Aptos Narrow"/>
            <family val="2"/>
            <scheme val="minor"/>
          </rPr>
          <t>Seleccione un valor de la lista</t>
        </r>
      </text>
    </comment>
    <comment ref="D1336" authorId="1" shapeId="0" xr:uid="{167AF918-3B2D-4294-9260-A20C6DEB90CF}">
      <text>
        <r>
          <rPr>
            <sz val="11"/>
            <color theme="1"/>
            <rFont val="Aptos Narrow"/>
            <family val="2"/>
            <scheme val="minor"/>
          </rPr>
          <t>Introduzca un número con dos decimales como máximo. Debe ser igual o mayor a la "Cantidad Real Consumida"</t>
        </r>
      </text>
    </comment>
    <comment ref="E1336" authorId="1" shapeId="0" xr:uid="{21FB5F09-66DF-4B0B-A1F5-F0AD75C47983}">
      <text>
        <r>
          <rPr>
            <sz val="11"/>
            <color theme="1"/>
            <rFont val="Aptos Narrow"/>
            <family val="2"/>
            <scheme val="minor"/>
          </rPr>
          <t>Introduzca un número con dos decimales como máximo</t>
        </r>
      </text>
    </comment>
    <comment ref="F1336" authorId="1" shapeId="0" xr:uid="{4DA67EA0-DB02-4FD3-B2E7-6305A0FF2A8C}">
      <text>
        <r>
          <rPr>
            <sz val="11"/>
            <color theme="1"/>
            <rFont val="Aptos Narrow"/>
            <family val="2"/>
            <scheme val="minor"/>
          </rPr>
          <t>Monto calculado automáticamente por el sistema</t>
        </r>
      </text>
    </comment>
    <comment ref="A1341" authorId="1" shapeId="0" xr:uid="{89DBD424-A886-41A5-80F4-C1DD680DE61D}">
      <text>
        <r>
          <rPr>
            <sz val="11"/>
            <color theme="1"/>
            <rFont val="Aptos Narrow"/>
            <family val="2"/>
            <scheme val="minor"/>
          </rPr>
          <t>Introducir un texto con el nombre o referencia de la contratación</t>
        </r>
      </text>
    </comment>
    <comment ref="B1341" authorId="1" shapeId="0" xr:uid="{E921249C-96EC-4584-907A-3B47519DD015}">
      <text>
        <r>
          <rPr>
            <sz val="11"/>
            <color theme="1"/>
            <rFont val="Aptos Narrow"/>
            <family val="2"/>
            <scheme val="minor"/>
          </rPr>
          <t>Introduzca un texto con la finalidad de la contratación</t>
        </r>
      </text>
    </comment>
    <comment ref="C1341" authorId="1" shapeId="0" xr:uid="{D78255C4-9FFE-4EE2-8A29-ED32596E5B9A}">
      <text>
        <r>
          <rPr>
            <sz val="11"/>
            <color theme="1"/>
            <rFont val="Aptos Narrow"/>
            <family val="2"/>
            <scheme val="minor"/>
          </rPr>
          <t>Seleccionar un valor del listado</t>
        </r>
      </text>
    </comment>
    <comment ref="D1341" authorId="1" shapeId="0" xr:uid="{88D30339-5603-4412-936B-33957B92B097}">
      <text>
        <r>
          <rPr>
            <sz val="11"/>
            <color theme="1"/>
            <rFont val="Aptos Narrow"/>
            <family val="2"/>
            <scheme val="minor"/>
          </rPr>
          <t>Seleccione el tipo de procedimiento</t>
        </r>
      </text>
    </comment>
    <comment ref="E1341" authorId="1" shapeId="0" xr:uid="{8D7003D9-B2DA-4067-AADD-C27D481F242B}">
      <text>
        <r>
          <rPr>
            <sz val="11"/>
            <color theme="1"/>
            <rFont val="Aptos Narrow"/>
            <family val="2"/>
            <scheme val="minor"/>
          </rPr>
          <t>Seleccione un valor de la lista</t>
        </r>
      </text>
    </comment>
    <comment ref="F1341" authorId="1" shapeId="0" xr:uid="{BF142CE0-4897-4FC6-88B6-94A093AAEAA1}">
      <text>
        <r>
          <rPr>
            <sz val="11"/>
            <color theme="1"/>
            <rFont val="Aptos Narrow"/>
            <family val="2"/>
            <scheme val="minor"/>
          </rPr>
          <t>Introduzca el código SNIP</t>
        </r>
      </text>
    </comment>
    <comment ref="C1342" authorId="1" shapeId="0" xr:uid="{DC61C648-7688-42F7-B122-0035F0183435}">
      <text>
        <r>
          <rPr>
            <sz val="11"/>
            <color theme="1"/>
            <rFont val="Aptos Narrow"/>
            <family val="2"/>
            <scheme val="minor"/>
          </rPr>
          <t>Introduzca la fecha de inicio del proceso, en formato dd-mm-aaaa</t>
        </r>
      </text>
    </comment>
    <comment ref="F1342" authorId="1" shapeId="0" xr:uid="{237FD2D7-9ED2-4046-B779-2256B88C4C0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43" authorId="1" shapeId="0" xr:uid="{5B793AEC-0738-483B-8C9A-4C85F46A42AC}">
      <text/>
    </comment>
    <comment ref="C1344" authorId="1" shapeId="0" xr:uid="{4B5D9661-F1B2-4AE5-83BF-5A84A1B9412B}">
      <text>
        <r>
          <rPr>
            <sz val="11"/>
            <color theme="1"/>
            <rFont val="Aptos Narrow"/>
            <family val="2"/>
            <scheme val="minor"/>
          </rPr>
          <t>Introduzca la fecha prevista de adjudicación, en formato dd-mm-aaaa</t>
        </r>
      </text>
    </comment>
    <comment ref="F1344" authorId="1" shapeId="0" xr:uid="{1A9759BE-4641-4654-A9A7-7E8CA7520267}">
      <text/>
    </comment>
    <comment ref="F1345" authorId="1" shapeId="0" xr:uid="{BC2868A8-ECB8-4A5E-933F-A312F5B20BE2}">
      <text/>
    </comment>
    <comment ref="A1347" authorId="1" shapeId="0" xr:uid="{398FB3E7-D43C-46F1-826A-C90F3E0BB564}">
      <text>
        <r>
          <rPr>
            <sz val="11"/>
            <color theme="1"/>
            <rFont val="Aptos Narrow"/>
            <family val="2"/>
            <scheme val="minor"/>
          </rPr>
          <t>Introduzca un codigo UNSPSC</t>
        </r>
      </text>
    </comment>
    <comment ref="B1347" authorId="1" shapeId="0" xr:uid="{056291BC-992F-44DF-9119-0286D45300D2}">
      <text>
        <r>
          <rPr>
            <sz val="11"/>
            <color theme="1"/>
            <rFont val="Aptos Narrow"/>
            <family val="2"/>
            <scheme val="minor"/>
          </rPr>
          <t>Descripción calculada automáticamente a partir de código del artículo</t>
        </r>
      </text>
    </comment>
    <comment ref="C1347" authorId="1" shapeId="0" xr:uid="{CA98DE84-78AB-4A9F-87C1-C1DA05815932}">
      <text>
        <r>
          <rPr>
            <sz val="11"/>
            <color theme="1"/>
            <rFont val="Aptos Narrow"/>
            <family val="2"/>
            <scheme val="minor"/>
          </rPr>
          <t>Seleccione un valor de la lista</t>
        </r>
      </text>
    </comment>
    <comment ref="D1347" authorId="1" shapeId="0" xr:uid="{1D74A11C-3DB8-4227-AC75-4A6FDFA57237}">
      <text>
        <r>
          <rPr>
            <sz val="11"/>
            <color theme="1"/>
            <rFont val="Aptos Narrow"/>
            <family val="2"/>
            <scheme val="minor"/>
          </rPr>
          <t>Introduzca un número con dos decimales como máximo. Debe ser igual o mayor a la "Cantidad Real Consumida"</t>
        </r>
      </text>
    </comment>
    <comment ref="E1347" authorId="1" shapeId="0" xr:uid="{AFBEB293-8D6E-4202-8F75-18297F863646}">
      <text>
        <r>
          <rPr>
            <sz val="11"/>
            <color theme="1"/>
            <rFont val="Aptos Narrow"/>
            <family val="2"/>
            <scheme val="minor"/>
          </rPr>
          <t>Introduzca un número con dos decimales como máximo</t>
        </r>
      </text>
    </comment>
    <comment ref="F1347" authorId="1" shapeId="0" xr:uid="{C5F497A2-0C31-4EAA-952A-DFF09CBF6756}">
      <text>
        <r>
          <rPr>
            <sz val="11"/>
            <color theme="1"/>
            <rFont val="Aptos Narrow"/>
            <family val="2"/>
            <scheme val="minor"/>
          </rPr>
          <t>Monto calculado automáticamente por el sistema</t>
        </r>
      </text>
    </comment>
    <comment ref="A1352" authorId="1" shapeId="0" xr:uid="{7D1673D1-4064-49BF-B513-76E663D6FDCE}">
      <text>
        <r>
          <rPr>
            <sz val="11"/>
            <color theme="1"/>
            <rFont val="Aptos Narrow"/>
            <family val="2"/>
            <scheme val="minor"/>
          </rPr>
          <t>Introducir un texto con el nombre o referencia de la contratación</t>
        </r>
      </text>
    </comment>
    <comment ref="B1352" authorId="1" shapeId="0" xr:uid="{33341CE7-FC12-4D1B-97E7-5A61BA8B7651}">
      <text>
        <r>
          <rPr>
            <sz val="11"/>
            <color theme="1"/>
            <rFont val="Aptos Narrow"/>
            <family val="2"/>
            <scheme val="minor"/>
          </rPr>
          <t>Introduzca un texto con la finalidad de la contratación</t>
        </r>
      </text>
    </comment>
    <comment ref="C1352" authorId="1" shapeId="0" xr:uid="{D02B4644-AD9D-457E-BAF1-737D8AFC80B4}">
      <text>
        <r>
          <rPr>
            <sz val="11"/>
            <color theme="1"/>
            <rFont val="Aptos Narrow"/>
            <family val="2"/>
            <scheme val="minor"/>
          </rPr>
          <t>Seleccionar un valor del listado</t>
        </r>
      </text>
    </comment>
    <comment ref="D1352" authorId="1" shapeId="0" xr:uid="{225918A8-B20F-4B22-AD99-4244120EEFE6}">
      <text>
        <r>
          <rPr>
            <sz val="11"/>
            <color theme="1"/>
            <rFont val="Aptos Narrow"/>
            <family val="2"/>
            <scheme val="minor"/>
          </rPr>
          <t>Seleccione el tipo de procedimiento</t>
        </r>
      </text>
    </comment>
    <comment ref="E1352" authorId="1" shapeId="0" xr:uid="{BC40D4C7-1A82-461B-8871-35FCA323F27A}">
      <text>
        <r>
          <rPr>
            <sz val="11"/>
            <color theme="1"/>
            <rFont val="Aptos Narrow"/>
            <family val="2"/>
            <scheme val="minor"/>
          </rPr>
          <t>Seleccione un valor de la lista</t>
        </r>
      </text>
    </comment>
    <comment ref="F1352" authorId="1" shapeId="0" xr:uid="{DCB59AB7-443D-452F-BF37-390A805283A0}">
      <text>
        <r>
          <rPr>
            <sz val="11"/>
            <color theme="1"/>
            <rFont val="Aptos Narrow"/>
            <family val="2"/>
            <scheme val="minor"/>
          </rPr>
          <t>Introduzca el código SNIP</t>
        </r>
      </text>
    </comment>
    <comment ref="C1353" authorId="1" shapeId="0" xr:uid="{B9DBA507-3A06-4ED6-8A7A-41F18C253F3B}">
      <text>
        <r>
          <rPr>
            <sz val="11"/>
            <color theme="1"/>
            <rFont val="Aptos Narrow"/>
            <family val="2"/>
            <scheme val="minor"/>
          </rPr>
          <t>Introduzca la fecha de inicio del proceso, en formato dd-mm-aaaa</t>
        </r>
      </text>
    </comment>
    <comment ref="F1353" authorId="1" shapeId="0" xr:uid="{90450407-25E4-42E8-80B7-95BE736A81E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54" authorId="1" shapeId="0" xr:uid="{2C8140B8-6444-4B44-A8E4-37F8F269B571}">
      <text/>
    </comment>
    <comment ref="C1355" authorId="1" shapeId="0" xr:uid="{75C63B21-D400-47C5-BA37-5F90E0471E4F}">
      <text>
        <r>
          <rPr>
            <sz val="11"/>
            <color theme="1"/>
            <rFont val="Aptos Narrow"/>
            <family val="2"/>
            <scheme val="minor"/>
          </rPr>
          <t>Introduzca la fecha prevista de adjudicación, en formato dd-mm-aaaa</t>
        </r>
      </text>
    </comment>
    <comment ref="F1355" authorId="1" shapeId="0" xr:uid="{CF6B053C-DBF6-4EE5-A249-06D6FEE35D50}">
      <text/>
    </comment>
    <comment ref="F1356" authorId="1" shapeId="0" xr:uid="{9DB9810A-DF46-4532-A1DD-833A6E5B8B4A}">
      <text/>
    </comment>
    <comment ref="A1358" authorId="1" shapeId="0" xr:uid="{DB57BA39-B4FB-4568-ADF9-8ADF305E2881}">
      <text>
        <r>
          <rPr>
            <sz val="11"/>
            <color theme="1"/>
            <rFont val="Aptos Narrow"/>
            <family val="2"/>
            <scheme val="minor"/>
          </rPr>
          <t>Introduzca un codigo UNSPSC</t>
        </r>
      </text>
    </comment>
    <comment ref="B1358" authorId="1" shapeId="0" xr:uid="{16BEB986-B7F1-4839-941F-34C41AA87E15}">
      <text>
        <r>
          <rPr>
            <sz val="11"/>
            <color theme="1"/>
            <rFont val="Aptos Narrow"/>
            <family val="2"/>
            <scheme val="minor"/>
          </rPr>
          <t>Descripción calculada automáticamente a partir de código del artículo</t>
        </r>
      </text>
    </comment>
    <comment ref="C1358" authorId="1" shapeId="0" xr:uid="{D60AE3EE-6A30-4497-A56F-4F2BD74F4C63}">
      <text>
        <r>
          <rPr>
            <sz val="11"/>
            <color theme="1"/>
            <rFont val="Aptos Narrow"/>
            <family val="2"/>
            <scheme val="minor"/>
          </rPr>
          <t>Seleccione un valor de la lista</t>
        </r>
      </text>
    </comment>
    <comment ref="D1358" authorId="1" shapeId="0" xr:uid="{F6099594-A0D7-4079-AA1D-544DD5AEF2F6}">
      <text>
        <r>
          <rPr>
            <sz val="11"/>
            <color theme="1"/>
            <rFont val="Aptos Narrow"/>
            <family val="2"/>
            <scheme val="minor"/>
          </rPr>
          <t>Introduzca un número con dos decimales como máximo. Debe ser igual o mayor a la "Cantidad Real Consumida"</t>
        </r>
      </text>
    </comment>
    <comment ref="E1358" authorId="1" shapeId="0" xr:uid="{C0A7DFDE-0834-4300-A7B3-99E2E15E1D52}">
      <text>
        <r>
          <rPr>
            <sz val="11"/>
            <color theme="1"/>
            <rFont val="Aptos Narrow"/>
            <family val="2"/>
            <scheme val="minor"/>
          </rPr>
          <t>Introduzca un número con dos decimales como máximo</t>
        </r>
      </text>
    </comment>
    <comment ref="F1358" authorId="1" shapeId="0" xr:uid="{02F25B17-66A7-417C-ABB4-DB50FF4070C6}">
      <text>
        <r>
          <rPr>
            <sz val="11"/>
            <color theme="1"/>
            <rFont val="Aptos Narrow"/>
            <family val="2"/>
            <scheme val="minor"/>
          </rPr>
          <t>Monto calculado automáticamente por el sistema</t>
        </r>
      </text>
    </comment>
    <comment ref="A1363" authorId="1" shapeId="0" xr:uid="{F8F35772-5FB8-495E-878D-260E6220DE0A}">
      <text>
        <r>
          <rPr>
            <sz val="11"/>
            <color theme="1"/>
            <rFont val="Aptos Narrow"/>
            <family val="2"/>
            <scheme val="minor"/>
          </rPr>
          <t>Introducir un texto con el nombre o referencia de la contratación</t>
        </r>
      </text>
    </comment>
    <comment ref="B1363" authorId="1" shapeId="0" xr:uid="{F67D93F6-A8F3-46C2-860D-C50EBE2A70A1}">
      <text>
        <r>
          <rPr>
            <sz val="11"/>
            <color theme="1"/>
            <rFont val="Aptos Narrow"/>
            <family val="2"/>
            <scheme val="minor"/>
          </rPr>
          <t>Introduzca un texto con la finalidad de la contratación</t>
        </r>
      </text>
    </comment>
    <comment ref="C1363" authorId="1" shapeId="0" xr:uid="{A3E5398F-857C-4AD3-88A5-72F2D80C77E1}">
      <text>
        <r>
          <rPr>
            <sz val="11"/>
            <color theme="1"/>
            <rFont val="Aptos Narrow"/>
            <family val="2"/>
            <scheme val="minor"/>
          </rPr>
          <t>Seleccionar un valor del listado</t>
        </r>
      </text>
    </comment>
    <comment ref="D1363" authorId="1" shapeId="0" xr:uid="{5BC360EB-4A5A-425C-8FF3-858DA95178B6}">
      <text>
        <r>
          <rPr>
            <sz val="11"/>
            <color theme="1"/>
            <rFont val="Aptos Narrow"/>
            <family val="2"/>
            <scheme val="minor"/>
          </rPr>
          <t>Seleccione el tipo de procedimiento</t>
        </r>
      </text>
    </comment>
    <comment ref="E1363" authorId="1" shapeId="0" xr:uid="{199E439E-0B30-4755-BF08-5B152E4C402B}">
      <text>
        <r>
          <rPr>
            <sz val="11"/>
            <color theme="1"/>
            <rFont val="Aptos Narrow"/>
            <family val="2"/>
            <scheme val="minor"/>
          </rPr>
          <t>Seleccione un valor de la lista</t>
        </r>
      </text>
    </comment>
    <comment ref="F1363" authorId="1" shapeId="0" xr:uid="{F64B97CC-A0C9-4252-9748-2066E2AA6EEF}">
      <text>
        <r>
          <rPr>
            <sz val="11"/>
            <color theme="1"/>
            <rFont val="Aptos Narrow"/>
            <family val="2"/>
            <scheme val="minor"/>
          </rPr>
          <t>Introduzca el código SNIP</t>
        </r>
      </text>
    </comment>
    <comment ref="C1364" authorId="1" shapeId="0" xr:uid="{5153E8DE-2A6D-4941-8045-67C174900145}">
      <text>
        <r>
          <rPr>
            <sz val="11"/>
            <color theme="1"/>
            <rFont val="Aptos Narrow"/>
            <family val="2"/>
            <scheme val="minor"/>
          </rPr>
          <t>Introduzca la fecha de inicio del proceso, en formato dd-mm-aaaa</t>
        </r>
      </text>
    </comment>
    <comment ref="F1364" authorId="1" shapeId="0" xr:uid="{18F762EF-181C-4222-91A5-15310977CEF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65" authorId="1" shapeId="0" xr:uid="{E0A42582-58E8-4502-B886-9FC51B67BD86}">
      <text/>
    </comment>
    <comment ref="C1366" authorId="1" shapeId="0" xr:uid="{4AC97278-B335-4CDA-BC56-A72829288F55}">
      <text>
        <r>
          <rPr>
            <sz val="11"/>
            <color theme="1"/>
            <rFont val="Aptos Narrow"/>
            <family val="2"/>
            <scheme val="minor"/>
          </rPr>
          <t>Introduzca la fecha prevista de adjudicación, en formato dd-mm-aaaa</t>
        </r>
      </text>
    </comment>
    <comment ref="F1366" authorId="1" shapeId="0" xr:uid="{CB92DF44-50D8-4C74-A458-68298419B4D4}">
      <text/>
    </comment>
    <comment ref="F1367" authorId="1" shapeId="0" xr:uid="{F0F9D075-5868-4119-9541-74DD5CFC8E1F}">
      <text/>
    </comment>
    <comment ref="A1369" authorId="1" shapeId="0" xr:uid="{674ED42B-9BB4-4BA0-AA4C-D0B64A1C003D}">
      <text>
        <r>
          <rPr>
            <sz val="11"/>
            <color theme="1"/>
            <rFont val="Aptos Narrow"/>
            <family val="2"/>
            <scheme val="minor"/>
          </rPr>
          <t>Introduzca un codigo UNSPSC</t>
        </r>
      </text>
    </comment>
    <comment ref="B1369" authorId="1" shapeId="0" xr:uid="{2E3817D3-16EF-4AAE-A432-A84EA54CAC0C}">
      <text>
        <r>
          <rPr>
            <sz val="11"/>
            <color theme="1"/>
            <rFont val="Aptos Narrow"/>
            <family val="2"/>
            <scheme val="minor"/>
          </rPr>
          <t>Descripción calculada automáticamente a partir de código del artículo</t>
        </r>
      </text>
    </comment>
    <comment ref="C1369" authorId="1" shapeId="0" xr:uid="{3FE42ECC-578C-4FCA-8F47-5D0890AF46FE}">
      <text>
        <r>
          <rPr>
            <sz val="11"/>
            <color theme="1"/>
            <rFont val="Aptos Narrow"/>
            <family val="2"/>
            <scheme val="minor"/>
          </rPr>
          <t>Seleccione un valor de la lista</t>
        </r>
      </text>
    </comment>
    <comment ref="D1369" authorId="1" shapeId="0" xr:uid="{D5AC7EE1-4468-4035-B5B6-9EE0DE1A11B1}">
      <text>
        <r>
          <rPr>
            <sz val="11"/>
            <color theme="1"/>
            <rFont val="Aptos Narrow"/>
            <family val="2"/>
            <scheme val="minor"/>
          </rPr>
          <t>Introduzca un número con dos decimales como máximo. Debe ser igual o mayor a la "Cantidad Real Consumida"</t>
        </r>
      </text>
    </comment>
    <comment ref="E1369" authorId="1" shapeId="0" xr:uid="{41F24530-D092-4679-9E8C-6A710F85C294}">
      <text>
        <r>
          <rPr>
            <sz val="11"/>
            <color theme="1"/>
            <rFont val="Aptos Narrow"/>
            <family val="2"/>
            <scheme val="minor"/>
          </rPr>
          <t>Introduzca un número con dos decimales como máximo</t>
        </r>
      </text>
    </comment>
    <comment ref="F1369" authorId="1" shapeId="0" xr:uid="{01E6C603-8E37-4CB5-B274-B25A6AACB316}">
      <text>
        <r>
          <rPr>
            <sz val="11"/>
            <color theme="1"/>
            <rFont val="Aptos Narrow"/>
            <family val="2"/>
            <scheme val="minor"/>
          </rPr>
          <t>Monto calculado automáticamente por el sistema</t>
        </r>
      </text>
    </comment>
    <comment ref="A1374" authorId="1" shapeId="0" xr:uid="{0F7DF206-564E-4317-AC4C-019220A2DD7B}">
      <text>
        <r>
          <rPr>
            <sz val="11"/>
            <color theme="1"/>
            <rFont val="Aptos Narrow"/>
            <family val="2"/>
            <scheme val="minor"/>
          </rPr>
          <t>Introducir un texto con el nombre o referencia de la contratación</t>
        </r>
      </text>
    </comment>
    <comment ref="B1374" authorId="1" shapeId="0" xr:uid="{6A15A5F7-20A0-4810-A2D7-77A026915DC4}">
      <text>
        <r>
          <rPr>
            <sz val="11"/>
            <color theme="1"/>
            <rFont val="Aptos Narrow"/>
            <family val="2"/>
            <scheme val="minor"/>
          </rPr>
          <t>Introduzca un texto con la finalidad de la contratación</t>
        </r>
      </text>
    </comment>
    <comment ref="C1374" authorId="1" shapeId="0" xr:uid="{A71FBEDF-5AC9-4036-AEB8-21DBB2F0EA7D}">
      <text>
        <r>
          <rPr>
            <sz val="11"/>
            <color theme="1"/>
            <rFont val="Aptos Narrow"/>
            <family val="2"/>
            <scheme val="minor"/>
          </rPr>
          <t>Seleccionar un valor del listado</t>
        </r>
      </text>
    </comment>
    <comment ref="D1374" authorId="1" shapeId="0" xr:uid="{4C0A4216-6E38-4DE2-9A7D-9D901B454C52}">
      <text>
        <r>
          <rPr>
            <sz val="11"/>
            <color theme="1"/>
            <rFont val="Aptos Narrow"/>
            <family val="2"/>
            <scheme val="minor"/>
          </rPr>
          <t>Seleccione el tipo de procedimiento</t>
        </r>
      </text>
    </comment>
    <comment ref="E1374" authorId="1" shapeId="0" xr:uid="{7372A969-B36E-4E2F-81B8-0F91F50C16CF}">
      <text>
        <r>
          <rPr>
            <sz val="11"/>
            <color theme="1"/>
            <rFont val="Aptos Narrow"/>
            <family val="2"/>
            <scheme val="minor"/>
          </rPr>
          <t>Seleccione un valor de la lista</t>
        </r>
      </text>
    </comment>
    <comment ref="F1374" authorId="1" shapeId="0" xr:uid="{BE343903-00A3-4DB9-86AA-022C1642CB1A}">
      <text>
        <r>
          <rPr>
            <sz val="11"/>
            <color theme="1"/>
            <rFont val="Aptos Narrow"/>
            <family val="2"/>
            <scheme val="minor"/>
          </rPr>
          <t>Introduzca el código SNIP</t>
        </r>
      </text>
    </comment>
    <comment ref="C1375" authorId="1" shapeId="0" xr:uid="{E0032B23-972C-4AC5-8F2D-977883FC7EE0}">
      <text>
        <r>
          <rPr>
            <sz val="11"/>
            <color theme="1"/>
            <rFont val="Aptos Narrow"/>
            <family val="2"/>
            <scheme val="minor"/>
          </rPr>
          <t>Introduzca la fecha de inicio del proceso, en formato dd-mm-aaaa</t>
        </r>
      </text>
    </comment>
    <comment ref="F1375" authorId="1" shapeId="0" xr:uid="{C16E1ACD-9116-4C42-A49F-5E64C1AD55E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76" authorId="1" shapeId="0" xr:uid="{81D9B33F-7FF7-46CC-B894-84CD1A020312}">
      <text/>
    </comment>
    <comment ref="C1377" authorId="1" shapeId="0" xr:uid="{7085CA57-BE30-48F5-AAFF-7482726796AF}">
      <text>
        <r>
          <rPr>
            <sz val="11"/>
            <color theme="1"/>
            <rFont val="Aptos Narrow"/>
            <family val="2"/>
            <scheme val="minor"/>
          </rPr>
          <t>Introduzca la fecha prevista de adjudicación, en formato dd-mm-aaaa</t>
        </r>
      </text>
    </comment>
    <comment ref="F1377" authorId="1" shapeId="0" xr:uid="{E2576426-00B1-4D71-BD58-B632DAC7E615}">
      <text/>
    </comment>
    <comment ref="F1378" authorId="1" shapeId="0" xr:uid="{F9F1768B-FE45-4AD5-AA2D-5695376584FC}">
      <text/>
    </comment>
    <comment ref="A1380" authorId="1" shapeId="0" xr:uid="{05F1E3D1-8265-480E-8A37-ACB16B36211D}">
      <text>
        <r>
          <rPr>
            <sz val="11"/>
            <color theme="1"/>
            <rFont val="Aptos Narrow"/>
            <family val="2"/>
            <scheme val="minor"/>
          </rPr>
          <t>Introduzca un codigo UNSPSC</t>
        </r>
      </text>
    </comment>
    <comment ref="B1380" authorId="1" shapeId="0" xr:uid="{8C60910E-671E-407E-8A06-0A5A4AC91946}">
      <text>
        <r>
          <rPr>
            <sz val="11"/>
            <color theme="1"/>
            <rFont val="Aptos Narrow"/>
            <family val="2"/>
            <scheme val="minor"/>
          </rPr>
          <t>Descripción calculada automáticamente a partir de código del artículo</t>
        </r>
      </text>
    </comment>
    <comment ref="C1380" authorId="1" shapeId="0" xr:uid="{04FFEC60-0D73-4E54-BB1D-2E1B177B7984}">
      <text>
        <r>
          <rPr>
            <sz val="11"/>
            <color theme="1"/>
            <rFont val="Aptos Narrow"/>
            <family val="2"/>
            <scheme val="minor"/>
          </rPr>
          <t>Seleccione un valor de la lista</t>
        </r>
      </text>
    </comment>
    <comment ref="D1380" authorId="1" shapeId="0" xr:uid="{E0DA8E68-4130-4814-BC16-BCAC35ADDA55}">
      <text>
        <r>
          <rPr>
            <sz val="11"/>
            <color theme="1"/>
            <rFont val="Aptos Narrow"/>
            <family val="2"/>
            <scheme val="minor"/>
          </rPr>
          <t>Introduzca un número con dos decimales como máximo. Debe ser igual o mayor a la "Cantidad Real Consumida"</t>
        </r>
      </text>
    </comment>
    <comment ref="E1380" authorId="1" shapeId="0" xr:uid="{48290B88-2158-430D-A73D-C8294C5D2785}">
      <text>
        <r>
          <rPr>
            <sz val="11"/>
            <color theme="1"/>
            <rFont val="Aptos Narrow"/>
            <family val="2"/>
            <scheme val="minor"/>
          </rPr>
          <t>Introduzca un número con dos decimales como máximo</t>
        </r>
      </text>
    </comment>
    <comment ref="F1380" authorId="1" shapeId="0" xr:uid="{4E34122C-630F-47C1-8B49-A075E60CEF51}">
      <text>
        <r>
          <rPr>
            <sz val="11"/>
            <color theme="1"/>
            <rFont val="Aptos Narrow"/>
            <family val="2"/>
            <scheme val="minor"/>
          </rPr>
          <t>Monto calculado automáticamente por el sistema</t>
        </r>
      </text>
    </comment>
    <comment ref="A1396" authorId="1" shapeId="0" xr:uid="{500551E1-1AE2-4751-BBE4-BA75D42694B9}">
      <text>
        <r>
          <rPr>
            <sz val="11"/>
            <color theme="1"/>
            <rFont val="Aptos Narrow"/>
            <family val="2"/>
            <scheme val="minor"/>
          </rPr>
          <t>Introducir un texto con el nombre o referencia de la contratación</t>
        </r>
      </text>
    </comment>
    <comment ref="B1396" authorId="1" shapeId="0" xr:uid="{7E2059CD-1285-420C-9AB1-96DF0BE8A933}">
      <text>
        <r>
          <rPr>
            <sz val="11"/>
            <color theme="1"/>
            <rFont val="Aptos Narrow"/>
            <family val="2"/>
            <scheme val="minor"/>
          </rPr>
          <t>Introduzca un texto con la finalidad de la contratación</t>
        </r>
      </text>
    </comment>
    <comment ref="C1396" authorId="1" shapeId="0" xr:uid="{58928134-AD78-468E-8CDC-705D1517B757}">
      <text>
        <r>
          <rPr>
            <sz val="11"/>
            <color theme="1"/>
            <rFont val="Aptos Narrow"/>
            <family val="2"/>
            <scheme val="minor"/>
          </rPr>
          <t>Seleccionar un valor del listado</t>
        </r>
      </text>
    </comment>
    <comment ref="D1396" authorId="1" shapeId="0" xr:uid="{2B74E875-250B-4FE3-8D05-9913B086F17D}">
      <text>
        <r>
          <rPr>
            <sz val="11"/>
            <color theme="1"/>
            <rFont val="Aptos Narrow"/>
            <family val="2"/>
            <scheme val="minor"/>
          </rPr>
          <t>Seleccione el tipo de procedimiento</t>
        </r>
      </text>
    </comment>
    <comment ref="E1396" authorId="1" shapeId="0" xr:uid="{8E4AAA7D-6A9B-416F-887A-DCB0257BB6CD}">
      <text>
        <r>
          <rPr>
            <sz val="11"/>
            <color theme="1"/>
            <rFont val="Aptos Narrow"/>
            <family val="2"/>
            <scheme val="minor"/>
          </rPr>
          <t>Seleccione un valor de la lista</t>
        </r>
      </text>
    </comment>
    <comment ref="F1396" authorId="1" shapeId="0" xr:uid="{9105C093-495C-41BE-8419-4476AA9B67B3}">
      <text>
        <r>
          <rPr>
            <sz val="11"/>
            <color theme="1"/>
            <rFont val="Aptos Narrow"/>
            <family val="2"/>
            <scheme val="minor"/>
          </rPr>
          <t>Introduzca el código SNIP</t>
        </r>
      </text>
    </comment>
    <comment ref="C1397" authorId="1" shapeId="0" xr:uid="{8DEEAA72-7B78-45AB-9081-69138F6C2F6B}">
      <text>
        <r>
          <rPr>
            <sz val="11"/>
            <color theme="1"/>
            <rFont val="Aptos Narrow"/>
            <family val="2"/>
            <scheme val="minor"/>
          </rPr>
          <t>Introduzca la fecha de inicio del proceso, en formato dd-mm-aaaa</t>
        </r>
      </text>
    </comment>
    <comment ref="F1397" authorId="1" shapeId="0" xr:uid="{DF841A10-C696-47FC-AD30-3CA0E862AE4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98" authorId="1" shapeId="0" xr:uid="{8AA18CF8-5CA1-48AB-A1E2-9F8F31BFBF5D}">
      <text/>
    </comment>
    <comment ref="C1399" authorId="1" shapeId="0" xr:uid="{069346C3-5131-4C33-8E19-9E3C4CC3715F}">
      <text>
        <r>
          <rPr>
            <sz val="11"/>
            <color theme="1"/>
            <rFont val="Aptos Narrow"/>
            <family val="2"/>
            <scheme val="minor"/>
          </rPr>
          <t>Introduzca la fecha prevista de adjudicación, en formato dd-mm-aaaa</t>
        </r>
      </text>
    </comment>
    <comment ref="F1399" authorId="1" shapeId="0" xr:uid="{16232334-9EF9-4476-8479-D70F93C65A78}">
      <text/>
    </comment>
    <comment ref="F1400" authorId="1" shapeId="0" xr:uid="{A98E2EC3-24CF-41E4-B470-C704F10C6762}">
      <text/>
    </comment>
    <comment ref="A1402" authorId="1" shapeId="0" xr:uid="{0A8EB15E-1CE5-45F1-B33F-487F5693CCC9}">
      <text>
        <r>
          <rPr>
            <sz val="11"/>
            <color theme="1"/>
            <rFont val="Aptos Narrow"/>
            <family val="2"/>
            <scheme val="minor"/>
          </rPr>
          <t>Introduzca un codigo UNSPSC</t>
        </r>
      </text>
    </comment>
    <comment ref="B1402" authorId="1" shapeId="0" xr:uid="{C099E58F-4CC2-4464-9332-B3C5FB6168AE}">
      <text>
        <r>
          <rPr>
            <sz val="11"/>
            <color theme="1"/>
            <rFont val="Aptos Narrow"/>
            <family val="2"/>
            <scheme val="minor"/>
          </rPr>
          <t>Descripción calculada automáticamente a partir de código del artículo</t>
        </r>
      </text>
    </comment>
    <comment ref="C1402" authorId="1" shapeId="0" xr:uid="{55B3647F-9A58-4020-B928-AE11E2A91DFC}">
      <text>
        <r>
          <rPr>
            <sz val="11"/>
            <color theme="1"/>
            <rFont val="Aptos Narrow"/>
            <family val="2"/>
            <scheme val="minor"/>
          </rPr>
          <t>Seleccione un valor de la lista</t>
        </r>
      </text>
    </comment>
    <comment ref="D1402" authorId="1" shapeId="0" xr:uid="{C169104C-C827-44A4-A162-8BC97D5C120D}">
      <text>
        <r>
          <rPr>
            <sz val="11"/>
            <color theme="1"/>
            <rFont val="Aptos Narrow"/>
            <family val="2"/>
            <scheme val="minor"/>
          </rPr>
          <t>Introduzca un número con dos decimales como máximo. Debe ser igual o mayor a la "Cantidad Real Consumida"</t>
        </r>
      </text>
    </comment>
    <comment ref="E1402" authorId="1" shapeId="0" xr:uid="{0E874085-6F08-4051-9B9F-3C32BBDF345F}">
      <text>
        <r>
          <rPr>
            <sz val="11"/>
            <color theme="1"/>
            <rFont val="Aptos Narrow"/>
            <family val="2"/>
            <scheme val="minor"/>
          </rPr>
          <t>Introduzca un número con dos decimales como máximo</t>
        </r>
      </text>
    </comment>
    <comment ref="F1402" authorId="1" shapeId="0" xr:uid="{1B40E58E-80AC-4647-B39F-4092148252CC}">
      <text>
        <r>
          <rPr>
            <sz val="11"/>
            <color theme="1"/>
            <rFont val="Aptos Narrow"/>
            <family val="2"/>
            <scheme val="minor"/>
          </rPr>
          <t>Monto calculado automáticamente por el sistema</t>
        </r>
      </text>
    </comment>
    <comment ref="A1407" authorId="1" shapeId="0" xr:uid="{6381A39B-2B49-4278-826C-8F301ABC25CB}">
      <text>
        <r>
          <rPr>
            <sz val="11"/>
            <color theme="1"/>
            <rFont val="Aptos Narrow"/>
            <family val="2"/>
            <scheme val="minor"/>
          </rPr>
          <t>Introducir un texto con el nombre o referencia de la contratación</t>
        </r>
      </text>
    </comment>
    <comment ref="B1407" authorId="1" shapeId="0" xr:uid="{D11A8054-A9CC-4725-9013-9BCD644965BB}">
      <text>
        <r>
          <rPr>
            <sz val="11"/>
            <color theme="1"/>
            <rFont val="Aptos Narrow"/>
            <family val="2"/>
            <scheme val="minor"/>
          </rPr>
          <t>Introduzca un texto con la finalidad de la contratación</t>
        </r>
      </text>
    </comment>
    <comment ref="C1407" authorId="1" shapeId="0" xr:uid="{BAB16C96-2EFC-4E0F-8AC3-6FF6CB426729}">
      <text>
        <r>
          <rPr>
            <sz val="11"/>
            <color theme="1"/>
            <rFont val="Aptos Narrow"/>
            <family val="2"/>
            <scheme val="minor"/>
          </rPr>
          <t>Seleccionar un valor del listado</t>
        </r>
      </text>
    </comment>
    <comment ref="D1407" authorId="1" shapeId="0" xr:uid="{5A5D9F7B-14CD-406A-8393-4E7ED44AA4D5}">
      <text>
        <r>
          <rPr>
            <sz val="11"/>
            <color theme="1"/>
            <rFont val="Aptos Narrow"/>
            <family val="2"/>
            <scheme val="minor"/>
          </rPr>
          <t>Seleccione el tipo de procedimiento</t>
        </r>
      </text>
    </comment>
    <comment ref="E1407" authorId="1" shapeId="0" xr:uid="{C3CE0CA0-C6CC-4B73-824C-E41EEE1374E7}">
      <text>
        <r>
          <rPr>
            <sz val="11"/>
            <color theme="1"/>
            <rFont val="Aptos Narrow"/>
            <family val="2"/>
            <scheme val="minor"/>
          </rPr>
          <t>Seleccione un valor de la lista</t>
        </r>
      </text>
    </comment>
    <comment ref="F1407" authorId="1" shapeId="0" xr:uid="{82E8A2E2-535C-4865-92B4-6A95D9BAF453}">
      <text>
        <r>
          <rPr>
            <sz val="11"/>
            <color theme="1"/>
            <rFont val="Aptos Narrow"/>
            <family val="2"/>
            <scheme val="minor"/>
          </rPr>
          <t>Introduzca el código SNIP</t>
        </r>
      </text>
    </comment>
    <comment ref="C1408" authorId="1" shapeId="0" xr:uid="{03F88E41-CB9C-4545-87FE-40CDAC5E0E9E}">
      <text>
        <r>
          <rPr>
            <sz val="11"/>
            <color theme="1"/>
            <rFont val="Aptos Narrow"/>
            <family val="2"/>
            <scheme val="minor"/>
          </rPr>
          <t>Introduzca la fecha de inicio del proceso, en formato dd-mm-aaaa</t>
        </r>
      </text>
    </comment>
    <comment ref="F1408" authorId="1" shapeId="0" xr:uid="{B7873285-BC23-42F7-8D53-FD816BA850C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09" authorId="1" shapeId="0" xr:uid="{D5296A51-B99B-42B6-B4EB-E6E659217004}">
      <text/>
    </comment>
    <comment ref="C1410" authorId="1" shapeId="0" xr:uid="{36CAE8BA-CFFC-4458-A8F3-42CDF73CDFB0}">
      <text>
        <r>
          <rPr>
            <sz val="11"/>
            <color theme="1"/>
            <rFont val="Aptos Narrow"/>
            <family val="2"/>
            <scheme val="minor"/>
          </rPr>
          <t>Introduzca la fecha prevista de adjudicación, en formato dd-mm-aaaa</t>
        </r>
      </text>
    </comment>
    <comment ref="F1410" authorId="1" shapeId="0" xr:uid="{01C601A7-6557-4200-8462-94D3D9F9D32C}">
      <text/>
    </comment>
    <comment ref="F1411" authorId="1" shapeId="0" xr:uid="{77C5C6BD-B941-4CB3-87BA-F0492C23A5FE}">
      <text/>
    </comment>
    <comment ref="A1413" authorId="1" shapeId="0" xr:uid="{CC42096A-51BB-4B58-AA95-378792225EA8}">
      <text>
        <r>
          <rPr>
            <sz val="11"/>
            <color theme="1"/>
            <rFont val="Aptos Narrow"/>
            <family val="2"/>
            <scheme val="minor"/>
          </rPr>
          <t>Introduzca un codigo UNSPSC</t>
        </r>
      </text>
    </comment>
    <comment ref="B1413" authorId="1" shapeId="0" xr:uid="{A008B483-120D-4F41-B6AD-7E8354D39672}">
      <text>
        <r>
          <rPr>
            <sz val="11"/>
            <color theme="1"/>
            <rFont val="Aptos Narrow"/>
            <family val="2"/>
            <scheme val="minor"/>
          </rPr>
          <t>Descripción calculada automáticamente a partir de código del artículo</t>
        </r>
      </text>
    </comment>
    <comment ref="C1413" authorId="1" shapeId="0" xr:uid="{C9F70F4D-0B92-4382-9D0F-94A5277AD6A7}">
      <text>
        <r>
          <rPr>
            <sz val="11"/>
            <color theme="1"/>
            <rFont val="Aptos Narrow"/>
            <family val="2"/>
            <scheme val="minor"/>
          </rPr>
          <t>Seleccione un valor de la lista</t>
        </r>
      </text>
    </comment>
    <comment ref="D1413" authorId="1" shapeId="0" xr:uid="{D3B7A92D-07DD-41FE-A7AF-338D77860341}">
      <text>
        <r>
          <rPr>
            <sz val="11"/>
            <color theme="1"/>
            <rFont val="Aptos Narrow"/>
            <family val="2"/>
            <scheme val="minor"/>
          </rPr>
          <t>Introduzca un número con dos decimales como máximo. Debe ser igual o mayor a la "Cantidad Real Consumida"</t>
        </r>
      </text>
    </comment>
    <comment ref="E1413" authorId="1" shapeId="0" xr:uid="{CCE97600-43B4-459A-B5D4-9B86F3DD41F6}">
      <text>
        <r>
          <rPr>
            <sz val="11"/>
            <color theme="1"/>
            <rFont val="Aptos Narrow"/>
            <family val="2"/>
            <scheme val="minor"/>
          </rPr>
          <t>Introduzca un número con dos decimales como máximo</t>
        </r>
      </text>
    </comment>
    <comment ref="F1413" authorId="1" shapeId="0" xr:uid="{B25BAFEC-26C0-4C55-9E36-FA37D22780AC}">
      <text>
        <r>
          <rPr>
            <sz val="11"/>
            <color theme="1"/>
            <rFont val="Aptos Narrow"/>
            <family val="2"/>
            <scheme val="minor"/>
          </rPr>
          <t>Monto calculado automáticamente por el sistema</t>
        </r>
      </text>
    </comment>
    <comment ref="A1418" authorId="1" shapeId="0" xr:uid="{332A1508-66A7-4F5E-891E-4435ABE17050}">
      <text>
        <r>
          <rPr>
            <sz val="11"/>
            <color theme="1"/>
            <rFont val="Aptos Narrow"/>
            <family val="2"/>
            <scheme val="minor"/>
          </rPr>
          <t>Introducir un texto con el nombre o referencia de la contratación</t>
        </r>
      </text>
    </comment>
    <comment ref="B1418" authorId="1" shapeId="0" xr:uid="{47B532AB-1083-438C-92A0-066582E0D639}">
      <text>
        <r>
          <rPr>
            <sz val="11"/>
            <color theme="1"/>
            <rFont val="Aptos Narrow"/>
            <family val="2"/>
            <scheme val="minor"/>
          </rPr>
          <t>Introduzca un texto con la finalidad de la contratación</t>
        </r>
      </text>
    </comment>
    <comment ref="C1418" authorId="1" shapeId="0" xr:uid="{152B8752-C587-479C-B3E0-82F465AF1DD1}">
      <text>
        <r>
          <rPr>
            <sz val="11"/>
            <color theme="1"/>
            <rFont val="Aptos Narrow"/>
            <family val="2"/>
            <scheme val="minor"/>
          </rPr>
          <t>Seleccionar un valor del listado</t>
        </r>
      </text>
    </comment>
    <comment ref="D1418" authorId="1" shapeId="0" xr:uid="{2B731701-DA26-4FDD-965A-EA82E251FC01}">
      <text>
        <r>
          <rPr>
            <sz val="11"/>
            <color theme="1"/>
            <rFont val="Aptos Narrow"/>
            <family val="2"/>
            <scheme val="minor"/>
          </rPr>
          <t>Seleccione el tipo de procedimiento</t>
        </r>
      </text>
    </comment>
    <comment ref="E1418" authorId="1" shapeId="0" xr:uid="{62B3561A-7A04-4A69-BB94-FB3BE6327DD1}">
      <text>
        <r>
          <rPr>
            <sz val="11"/>
            <color theme="1"/>
            <rFont val="Aptos Narrow"/>
            <family val="2"/>
            <scheme val="minor"/>
          </rPr>
          <t>Seleccione un valor de la lista</t>
        </r>
      </text>
    </comment>
    <comment ref="F1418" authorId="1" shapeId="0" xr:uid="{78499654-75F6-4245-A33A-B5FCFB103230}">
      <text>
        <r>
          <rPr>
            <sz val="11"/>
            <color theme="1"/>
            <rFont val="Aptos Narrow"/>
            <family val="2"/>
            <scheme val="minor"/>
          </rPr>
          <t>Introduzca el código SNIP</t>
        </r>
      </text>
    </comment>
    <comment ref="C1419" authorId="1" shapeId="0" xr:uid="{575BFF89-EEAC-4406-9FC1-7DD973EFF6D0}">
      <text>
        <r>
          <rPr>
            <sz val="11"/>
            <color theme="1"/>
            <rFont val="Aptos Narrow"/>
            <family val="2"/>
            <scheme val="minor"/>
          </rPr>
          <t>Introduzca la fecha de inicio del proceso, en formato dd-mm-aaaa</t>
        </r>
      </text>
    </comment>
    <comment ref="F1419" authorId="1" shapeId="0" xr:uid="{2EBA6492-1B1D-4EDC-89E7-F01F5EF9B3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20" authorId="1" shapeId="0" xr:uid="{30BB5E82-1E48-44C5-B068-A1B10E2CC91F}">
      <text/>
    </comment>
    <comment ref="C1421" authorId="1" shapeId="0" xr:uid="{A975ECFE-B9DA-45DD-BBC6-AD4591788FEB}">
      <text>
        <r>
          <rPr>
            <sz val="11"/>
            <color theme="1"/>
            <rFont val="Aptos Narrow"/>
            <family val="2"/>
            <scheme val="minor"/>
          </rPr>
          <t>Introduzca la fecha prevista de adjudicación, en formato dd-mm-aaaa</t>
        </r>
      </text>
    </comment>
    <comment ref="F1421" authorId="1" shapeId="0" xr:uid="{4162E00B-E9CA-46B1-A75A-1E5D649FBEDA}">
      <text/>
    </comment>
    <comment ref="F1422" authorId="1" shapeId="0" xr:uid="{34FF7EC0-C213-4C09-9B14-173EEA25F404}">
      <text/>
    </comment>
    <comment ref="A1424" authorId="1" shapeId="0" xr:uid="{F1922152-F16A-46FE-A4F7-B0215C3525CA}">
      <text>
        <r>
          <rPr>
            <sz val="11"/>
            <color theme="1"/>
            <rFont val="Aptos Narrow"/>
            <family val="2"/>
            <scheme val="minor"/>
          </rPr>
          <t>Introduzca un codigo UNSPSC</t>
        </r>
      </text>
    </comment>
    <comment ref="B1424" authorId="1" shapeId="0" xr:uid="{B7FC1A3A-DB15-4FD2-8783-82B0208E5BDB}">
      <text>
        <r>
          <rPr>
            <sz val="11"/>
            <color theme="1"/>
            <rFont val="Aptos Narrow"/>
            <family val="2"/>
            <scheme val="minor"/>
          </rPr>
          <t>Descripción calculada automáticamente a partir de código del artículo</t>
        </r>
      </text>
    </comment>
    <comment ref="C1424" authorId="1" shapeId="0" xr:uid="{03D0DB8A-5504-4EF0-9FC3-B605B03FD0FE}">
      <text>
        <r>
          <rPr>
            <sz val="11"/>
            <color theme="1"/>
            <rFont val="Aptos Narrow"/>
            <family val="2"/>
            <scheme val="minor"/>
          </rPr>
          <t>Seleccione un valor de la lista</t>
        </r>
      </text>
    </comment>
    <comment ref="D1424" authorId="1" shapeId="0" xr:uid="{A4ACD84C-99E2-4785-9BD7-F742994DA058}">
      <text>
        <r>
          <rPr>
            <sz val="11"/>
            <color theme="1"/>
            <rFont val="Aptos Narrow"/>
            <family val="2"/>
            <scheme val="minor"/>
          </rPr>
          <t>Introduzca un número con dos decimales como máximo. Debe ser igual o mayor a la "Cantidad Real Consumida"</t>
        </r>
      </text>
    </comment>
    <comment ref="E1424" authorId="1" shapeId="0" xr:uid="{E1E1B86F-6AE2-43A7-8534-4C9334E55A7F}">
      <text>
        <r>
          <rPr>
            <sz val="11"/>
            <color theme="1"/>
            <rFont val="Aptos Narrow"/>
            <family val="2"/>
            <scheme val="minor"/>
          </rPr>
          <t>Introduzca un número con dos decimales como máximo</t>
        </r>
      </text>
    </comment>
    <comment ref="F1424" authorId="1" shapeId="0" xr:uid="{C4865F82-6DE8-4598-A90B-D0A3644647F4}">
      <text>
        <r>
          <rPr>
            <sz val="11"/>
            <color theme="1"/>
            <rFont val="Aptos Narrow"/>
            <family val="2"/>
            <scheme val="minor"/>
          </rPr>
          <t>Monto calculado automáticamente por el sistema</t>
        </r>
      </text>
    </comment>
    <comment ref="A1429" authorId="1" shapeId="0" xr:uid="{D0E99078-87A3-44D4-A310-C00A785B3377}">
      <text>
        <r>
          <rPr>
            <sz val="11"/>
            <color theme="1"/>
            <rFont val="Aptos Narrow"/>
            <family val="2"/>
            <scheme val="minor"/>
          </rPr>
          <t>Introducir un texto con el nombre o referencia de la contratación</t>
        </r>
      </text>
    </comment>
    <comment ref="B1429" authorId="1" shapeId="0" xr:uid="{D5BF370B-E04C-480D-BEE9-5E4AAE5E1B19}">
      <text>
        <r>
          <rPr>
            <sz val="11"/>
            <color theme="1"/>
            <rFont val="Aptos Narrow"/>
            <family val="2"/>
            <scheme val="minor"/>
          </rPr>
          <t>Introduzca un texto con la finalidad de la contratación</t>
        </r>
      </text>
    </comment>
    <comment ref="C1429" authorId="1" shapeId="0" xr:uid="{CE161A05-C690-4434-A5E9-CAADF996E19C}">
      <text>
        <r>
          <rPr>
            <sz val="11"/>
            <color theme="1"/>
            <rFont val="Aptos Narrow"/>
            <family val="2"/>
            <scheme val="minor"/>
          </rPr>
          <t>Seleccionar un valor del listado</t>
        </r>
      </text>
    </comment>
    <comment ref="D1429" authorId="1" shapeId="0" xr:uid="{D91D70D7-4CD0-47AF-A704-F15E1B54AC1F}">
      <text>
        <r>
          <rPr>
            <sz val="11"/>
            <color theme="1"/>
            <rFont val="Aptos Narrow"/>
            <family val="2"/>
            <scheme val="minor"/>
          </rPr>
          <t>Seleccione el tipo de procedimiento</t>
        </r>
      </text>
    </comment>
    <comment ref="E1429" authorId="1" shapeId="0" xr:uid="{B07EF7C8-C691-4FBE-A6B8-6444D6C467CA}">
      <text>
        <r>
          <rPr>
            <sz val="11"/>
            <color theme="1"/>
            <rFont val="Aptos Narrow"/>
            <family val="2"/>
            <scheme val="minor"/>
          </rPr>
          <t>Seleccione un valor de la lista</t>
        </r>
      </text>
    </comment>
    <comment ref="F1429" authorId="1" shapeId="0" xr:uid="{C1894551-32AB-4F61-8DAA-F45608E69A34}">
      <text>
        <r>
          <rPr>
            <sz val="11"/>
            <color theme="1"/>
            <rFont val="Aptos Narrow"/>
            <family val="2"/>
            <scheme val="minor"/>
          </rPr>
          <t>Introduzca el código SNIP</t>
        </r>
      </text>
    </comment>
    <comment ref="C1430" authorId="1" shapeId="0" xr:uid="{D3AD4535-5F0C-43E8-8604-277A11FF89E5}">
      <text>
        <r>
          <rPr>
            <sz val="11"/>
            <color theme="1"/>
            <rFont val="Aptos Narrow"/>
            <family val="2"/>
            <scheme val="minor"/>
          </rPr>
          <t>Introduzca la fecha de inicio del proceso, en formato dd-mm-aaaa</t>
        </r>
      </text>
    </comment>
    <comment ref="F1430" authorId="1" shapeId="0" xr:uid="{29BE2412-5C9F-4518-AC06-820B7088E49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31" authorId="1" shapeId="0" xr:uid="{3448E623-1B19-4120-9B0A-44AF76275F56}">
      <text/>
    </comment>
    <comment ref="C1432" authorId="1" shapeId="0" xr:uid="{A4D61009-61A9-4E34-B8E2-9BB736E1421D}">
      <text>
        <r>
          <rPr>
            <sz val="11"/>
            <color theme="1"/>
            <rFont val="Aptos Narrow"/>
            <family val="2"/>
            <scheme val="minor"/>
          </rPr>
          <t>Introduzca la fecha prevista de adjudicación, en formato dd-mm-aaaa</t>
        </r>
      </text>
    </comment>
    <comment ref="F1432" authorId="1" shapeId="0" xr:uid="{EEBA5AB3-424F-4A7A-BF14-3D5DC6F3836C}">
      <text/>
    </comment>
    <comment ref="F1433" authorId="1" shapeId="0" xr:uid="{D30149BC-1814-4EF5-A632-0D4FCB6216E8}">
      <text/>
    </comment>
    <comment ref="A1435" authorId="1" shapeId="0" xr:uid="{F3098BEA-80A8-4301-90F8-AF2622142739}">
      <text>
        <r>
          <rPr>
            <sz val="11"/>
            <color theme="1"/>
            <rFont val="Aptos Narrow"/>
            <family val="2"/>
            <scheme val="minor"/>
          </rPr>
          <t>Introduzca un codigo UNSPSC</t>
        </r>
      </text>
    </comment>
    <comment ref="B1435" authorId="1" shapeId="0" xr:uid="{B5112171-DB11-49B5-8469-BB4BE3EB355B}">
      <text>
        <r>
          <rPr>
            <sz val="11"/>
            <color theme="1"/>
            <rFont val="Aptos Narrow"/>
            <family val="2"/>
            <scheme val="minor"/>
          </rPr>
          <t>Descripción calculada automáticamente a partir de código del artículo</t>
        </r>
      </text>
    </comment>
    <comment ref="C1435" authorId="1" shapeId="0" xr:uid="{92252B2D-D6AA-4DF4-B0A3-04D97EE4C1F7}">
      <text>
        <r>
          <rPr>
            <sz val="11"/>
            <color theme="1"/>
            <rFont val="Aptos Narrow"/>
            <family val="2"/>
            <scheme val="minor"/>
          </rPr>
          <t>Seleccione un valor de la lista</t>
        </r>
      </text>
    </comment>
    <comment ref="D1435" authorId="1" shapeId="0" xr:uid="{EF90B2EF-7A66-4643-B81E-57304BCA57BB}">
      <text>
        <r>
          <rPr>
            <sz val="11"/>
            <color theme="1"/>
            <rFont val="Aptos Narrow"/>
            <family val="2"/>
            <scheme val="minor"/>
          </rPr>
          <t>Introduzca un número con dos decimales como máximo. Debe ser igual o mayor a la "Cantidad Real Consumida"</t>
        </r>
      </text>
    </comment>
    <comment ref="E1435" authorId="1" shapeId="0" xr:uid="{B601983C-A8D6-4B3D-A9E8-2426F574BCBF}">
      <text>
        <r>
          <rPr>
            <sz val="11"/>
            <color theme="1"/>
            <rFont val="Aptos Narrow"/>
            <family val="2"/>
            <scheme val="minor"/>
          </rPr>
          <t>Introduzca un número con dos decimales como máximo</t>
        </r>
      </text>
    </comment>
    <comment ref="F1435" authorId="1" shapeId="0" xr:uid="{16F4DCA8-3D7C-4518-BDDC-40CD25D9152A}">
      <text>
        <r>
          <rPr>
            <sz val="11"/>
            <color theme="1"/>
            <rFont val="Aptos Narrow"/>
            <family val="2"/>
            <scheme val="minor"/>
          </rPr>
          <t>Monto calculado automáticamente por el sistema</t>
        </r>
      </text>
    </comment>
    <comment ref="A1440" authorId="1" shapeId="0" xr:uid="{EE05F1B2-67FF-487E-9FCF-3A98C411B45D}">
      <text>
        <r>
          <rPr>
            <sz val="11"/>
            <color theme="1"/>
            <rFont val="Aptos Narrow"/>
            <family val="2"/>
            <scheme val="minor"/>
          </rPr>
          <t>Introducir un texto con el nombre o referencia de la contratación</t>
        </r>
      </text>
    </comment>
    <comment ref="B1440" authorId="1" shapeId="0" xr:uid="{14AD3D51-5B10-487E-ACFB-D33B3C3B761C}">
      <text>
        <r>
          <rPr>
            <sz val="11"/>
            <color theme="1"/>
            <rFont val="Aptos Narrow"/>
            <family val="2"/>
            <scheme val="minor"/>
          </rPr>
          <t>Introduzca un texto con la finalidad de la contratación</t>
        </r>
      </text>
    </comment>
    <comment ref="C1440" authorId="1" shapeId="0" xr:uid="{8AECADB1-8FB0-483D-9D9D-3F6CBBF4ACC3}">
      <text>
        <r>
          <rPr>
            <sz val="11"/>
            <color theme="1"/>
            <rFont val="Aptos Narrow"/>
            <family val="2"/>
            <scheme val="minor"/>
          </rPr>
          <t>Seleccionar un valor del listado</t>
        </r>
      </text>
    </comment>
    <comment ref="D1440" authorId="1" shapeId="0" xr:uid="{BDFF9444-DB9F-4812-A4BE-514B8F5C6BF1}">
      <text>
        <r>
          <rPr>
            <sz val="11"/>
            <color theme="1"/>
            <rFont val="Aptos Narrow"/>
            <family val="2"/>
            <scheme val="minor"/>
          </rPr>
          <t>Seleccione el tipo de procedimiento</t>
        </r>
      </text>
    </comment>
    <comment ref="E1440" authorId="1" shapeId="0" xr:uid="{A1F220D8-A559-487B-B227-BA691C817D9A}">
      <text>
        <r>
          <rPr>
            <sz val="11"/>
            <color theme="1"/>
            <rFont val="Aptos Narrow"/>
            <family val="2"/>
            <scheme val="minor"/>
          </rPr>
          <t>Seleccione un valor de la lista</t>
        </r>
      </text>
    </comment>
    <comment ref="F1440" authorId="1" shapeId="0" xr:uid="{BF25786B-4D16-4758-B21C-B0A0C7D4D239}">
      <text>
        <r>
          <rPr>
            <sz val="11"/>
            <color theme="1"/>
            <rFont val="Aptos Narrow"/>
            <family val="2"/>
            <scheme val="minor"/>
          </rPr>
          <t>Introduzca el código SNIP</t>
        </r>
      </text>
    </comment>
    <comment ref="C1441" authorId="1" shapeId="0" xr:uid="{6D412207-DC6F-4576-8A73-876E4074E74E}">
      <text>
        <r>
          <rPr>
            <sz val="11"/>
            <color theme="1"/>
            <rFont val="Aptos Narrow"/>
            <family val="2"/>
            <scheme val="minor"/>
          </rPr>
          <t>Introduzca la fecha de inicio del proceso, en formato dd-mm-aaaa</t>
        </r>
      </text>
    </comment>
    <comment ref="F1441" authorId="1" shapeId="0" xr:uid="{AD91BCAA-0AC0-4B17-933B-2037A01923A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42" authorId="1" shapeId="0" xr:uid="{25E1A26A-28E9-4B9F-A147-FD9AB78BF494}">
      <text/>
    </comment>
    <comment ref="C1443" authorId="1" shapeId="0" xr:uid="{057515AF-CE55-4A2F-876E-D89EC526473D}">
      <text>
        <r>
          <rPr>
            <sz val="11"/>
            <color theme="1"/>
            <rFont val="Aptos Narrow"/>
            <family val="2"/>
            <scheme val="minor"/>
          </rPr>
          <t>Introduzca la fecha prevista de adjudicación, en formato dd-mm-aaaa</t>
        </r>
      </text>
    </comment>
    <comment ref="F1443" authorId="1" shapeId="0" xr:uid="{77F132CA-8493-4D92-B94D-A6BF2C0397DC}">
      <text/>
    </comment>
    <comment ref="F1444" authorId="1" shapeId="0" xr:uid="{E63DF4B4-2742-4CE4-858C-EC90EA262F8F}">
      <text/>
    </comment>
    <comment ref="A1446" authorId="1" shapeId="0" xr:uid="{8262918D-0001-42B4-B0BE-17A8D3446BC5}">
      <text>
        <r>
          <rPr>
            <sz val="11"/>
            <color theme="1"/>
            <rFont val="Aptos Narrow"/>
            <family val="2"/>
            <scheme val="minor"/>
          </rPr>
          <t>Introduzca un codigo UNSPSC</t>
        </r>
      </text>
    </comment>
    <comment ref="B1446" authorId="1" shapeId="0" xr:uid="{2429E28F-B925-46BA-80EC-B0A84DE9EA2D}">
      <text>
        <r>
          <rPr>
            <sz val="11"/>
            <color theme="1"/>
            <rFont val="Aptos Narrow"/>
            <family val="2"/>
            <scheme val="minor"/>
          </rPr>
          <t>Descripción calculada automáticamente a partir de código del artículo</t>
        </r>
      </text>
    </comment>
    <comment ref="C1446" authorId="1" shapeId="0" xr:uid="{F0353ED1-3232-421D-B1D4-65D64159F5DE}">
      <text>
        <r>
          <rPr>
            <sz val="11"/>
            <color theme="1"/>
            <rFont val="Aptos Narrow"/>
            <family val="2"/>
            <scheme val="minor"/>
          </rPr>
          <t>Seleccione un valor de la lista</t>
        </r>
      </text>
    </comment>
    <comment ref="D1446" authorId="1" shapeId="0" xr:uid="{DFD7D8A6-22D2-4788-9388-8C882BED6501}">
      <text>
        <r>
          <rPr>
            <sz val="11"/>
            <color theme="1"/>
            <rFont val="Aptos Narrow"/>
            <family val="2"/>
            <scheme val="minor"/>
          </rPr>
          <t>Introduzca un número con dos decimales como máximo. Debe ser igual o mayor a la "Cantidad Real Consumida"</t>
        </r>
      </text>
    </comment>
    <comment ref="E1446" authorId="1" shapeId="0" xr:uid="{93A79F1C-FAA8-42ED-BDCF-872B4FB042D0}">
      <text>
        <r>
          <rPr>
            <sz val="11"/>
            <color theme="1"/>
            <rFont val="Aptos Narrow"/>
            <family val="2"/>
            <scheme val="minor"/>
          </rPr>
          <t>Introduzca un número con dos decimales como máximo</t>
        </r>
      </text>
    </comment>
    <comment ref="F1446" authorId="1" shapeId="0" xr:uid="{40A09AF6-F26A-4D84-9A6D-A0D424C4372B}">
      <text>
        <r>
          <rPr>
            <sz val="11"/>
            <color theme="1"/>
            <rFont val="Aptos Narrow"/>
            <family val="2"/>
            <scheme val="minor"/>
          </rPr>
          <t>Monto calculado automáticamente por el sistema</t>
        </r>
      </text>
    </comment>
    <comment ref="A1451" authorId="1" shapeId="0" xr:uid="{D0B3DAF6-37E9-4337-AF4A-25B8987B7C51}">
      <text>
        <r>
          <rPr>
            <sz val="11"/>
            <color theme="1"/>
            <rFont val="Aptos Narrow"/>
            <family val="2"/>
            <scheme val="minor"/>
          </rPr>
          <t>Introducir un texto con el nombre o referencia de la contratación</t>
        </r>
      </text>
    </comment>
    <comment ref="B1451" authorId="1" shapeId="0" xr:uid="{A4C739ED-067C-4D7A-908C-F7BCE7494AE0}">
      <text>
        <r>
          <rPr>
            <sz val="11"/>
            <color theme="1"/>
            <rFont val="Aptos Narrow"/>
            <family val="2"/>
            <scheme val="minor"/>
          </rPr>
          <t>Introduzca un texto con la finalidad de la contratación</t>
        </r>
      </text>
    </comment>
    <comment ref="C1451" authorId="1" shapeId="0" xr:uid="{CBE06475-5C28-4C97-96EA-509B827F58DF}">
      <text>
        <r>
          <rPr>
            <sz val="11"/>
            <color theme="1"/>
            <rFont val="Aptos Narrow"/>
            <family val="2"/>
            <scheme val="minor"/>
          </rPr>
          <t>Seleccionar un valor del listado</t>
        </r>
      </text>
    </comment>
    <comment ref="D1451" authorId="1" shapeId="0" xr:uid="{5A2E3EF5-1020-4F3C-854B-3C401E0AFE81}">
      <text>
        <r>
          <rPr>
            <sz val="11"/>
            <color theme="1"/>
            <rFont val="Aptos Narrow"/>
            <family val="2"/>
            <scheme val="minor"/>
          </rPr>
          <t>Seleccione el tipo de procedimiento</t>
        </r>
      </text>
    </comment>
    <comment ref="E1451" authorId="1" shapeId="0" xr:uid="{B669F416-F913-424A-8366-F8E5873F83F3}">
      <text>
        <r>
          <rPr>
            <sz val="11"/>
            <color theme="1"/>
            <rFont val="Aptos Narrow"/>
            <family val="2"/>
            <scheme val="minor"/>
          </rPr>
          <t>Seleccione un valor de la lista</t>
        </r>
      </text>
    </comment>
    <comment ref="F1451" authorId="1" shapeId="0" xr:uid="{27E0C07B-BAAE-419F-AA9F-EF8A136EA6DA}">
      <text>
        <r>
          <rPr>
            <sz val="11"/>
            <color theme="1"/>
            <rFont val="Aptos Narrow"/>
            <family val="2"/>
            <scheme val="minor"/>
          </rPr>
          <t>Introduzca el código SNIP</t>
        </r>
      </text>
    </comment>
    <comment ref="C1452" authorId="1" shapeId="0" xr:uid="{04E85474-82B4-4DFE-A836-A5DA1E871A02}">
      <text>
        <r>
          <rPr>
            <sz val="11"/>
            <color theme="1"/>
            <rFont val="Aptos Narrow"/>
            <family val="2"/>
            <scheme val="minor"/>
          </rPr>
          <t>Introduzca la fecha de inicio del proceso, en formato dd-mm-aaaa</t>
        </r>
      </text>
    </comment>
    <comment ref="F1452" authorId="1" shapeId="0" xr:uid="{58EB8445-4327-4E0E-BAFF-93EA3AC0F1B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53" authorId="1" shapeId="0" xr:uid="{4DCB1CD1-2CA5-4F92-9683-ACB14CD73629}">
      <text/>
    </comment>
    <comment ref="C1454" authorId="1" shapeId="0" xr:uid="{83812702-87D4-4F9B-9796-DF08DE77B7CB}">
      <text>
        <r>
          <rPr>
            <sz val="11"/>
            <color theme="1"/>
            <rFont val="Aptos Narrow"/>
            <family val="2"/>
            <scheme val="minor"/>
          </rPr>
          <t>Introduzca la fecha prevista de adjudicación, en formato dd-mm-aaaa</t>
        </r>
      </text>
    </comment>
    <comment ref="F1454" authorId="1" shapeId="0" xr:uid="{7F867D6A-87D9-4376-AD9B-0E04DCC7A209}">
      <text/>
    </comment>
    <comment ref="F1455" authorId="1" shapeId="0" xr:uid="{E950AB96-E685-425B-984A-74DB0058A32D}">
      <text/>
    </comment>
    <comment ref="A1457" authorId="1" shapeId="0" xr:uid="{5FD25248-B254-4691-9A4C-568610DC6C9E}">
      <text>
        <r>
          <rPr>
            <sz val="11"/>
            <color theme="1"/>
            <rFont val="Aptos Narrow"/>
            <family val="2"/>
            <scheme val="minor"/>
          </rPr>
          <t>Introduzca un codigo UNSPSC</t>
        </r>
      </text>
    </comment>
    <comment ref="B1457" authorId="1" shapeId="0" xr:uid="{0739465E-56A4-4242-8217-E2A1EBFF8D3C}">
      <text>
        <r>
          <rPr>
            <sz val="11"/>
            <color theme="1"/>
            <rFont val="Aptos Narrow"/>
            <family val="2"/>
            <scheme val="minor"/>
          </rPr>
          <t>Descripción calculada automáticamente a partir de código del artículo</t>
        </r>
      </text>
    </comment>
    <comment ref="C1457" authorId="1" shapeId="0" xr:uid="{3DE0A3E5-AB22-47C5-8EDE-17D30BAEEF5B}">
      <text>
        <r>
          <rPr>
            <sz val="11"/>
            <color theme="1"/>
            <rFont val="Aptos Narrow"/>
            <family val="2"/>
            <scheme val="minor"/>
          </rPr>
          <t>Seleccione un valor de la lista</t>
        </r>
      </text>
    </comment>
    <comment ref="D1457" authorId="1" shapeId="0" xr:uid="{B0D637AE-D99A-477C-9E36-CF2B0E8E4014}">
      <text>
        <r>
          <rPr>
            <sz val="11"/>
            <color theme="1"/>
            <rFont val="Aptos Narrow"/>
            <family val="2"/>
            <scheme val="minor"/>
          </rPr>
          <t>Introduzca un número con dos decimales como máximo. Debe ser igual o mayor a la "Cantidad Real Consumida"</t>
        </r>
      </text>
    </comment>
    <comment ref="E1457" authorId="1" shapeId="0" xr:uid="{1BE46CFC-2DC9-4B32-B45D-793BA17211B1}">
      <text>
        <r>
          <rPr>
            <sz val="11"/>
            <color theme="1"/>
            <rFont val="Aptos Narrow"/>
            <family val="2"/>
            <scheme val="minor"/>
          </rPr>
          <t>Introduzca un número con dos decimales como máximo</t>
        </r>
      </text>
    </comment>
    <comment ref="F1457" authorId="1" shapeId="0" xr:uid="{B90ECA1F-2010-417C-8D29-DB63628C4930}">
      <text>
        <r>
          <rPr>
            <sz val="11"/>
            <color theme="1"/>
            <rFont val="Aptos Narrow"/>
            <family val="2"/>
            <scheme val="minor"/>
          </rPr>
          <t>Monto calculado automáticamente por el sistema</t>
        </r>
      </text>
    </comment>
    <comment ref="A1462" authorId="1" shapeId="0" xr:uid="{99DA610B-2AE8-4F30-AE5E-A050992D1104}">
      <text>
        <r>
          <rPr>
            <sz val="11"/>
            <color theme="1"/>
            <rFont val="Aptos Narrow"/>
            <family val="2"/>
            <scheme val="minor"/>
          </rPr>
          <t>Introducir un texto con el nombre o referencia de la contratación</t>
        </r>
      </text>
    </comment>
    <comment ref="B1462" authorId="1" shapeId="0" xr:uid="{ECD4F119-10FB-4B07-9E61-05982820E30B}">
      <text>
        <r>
          <rPr>
            <sz val="11"/>
            <color theme="1"/>
            <rFont val="Aptos Narrow"/>
            <family val="2"/>
            <scheme val="minor"/>
          </rPr>
          <t>Introduzca un texto con la finalidad de la contratación</t>
        </r>
      </text>
    </comment>
    <comment ref="C1462" authorId="1" shapeId="0" xr:uid="{7A2CB3E1-355D-489A-B98B-94E380CC2404}">
      <text>
        <r>
          <rPr>
            <sz val="11"/>
            <color theme="1"/>
            <rFont val="Aptos Narrow"/>
            <family val="2"/>
            <scheme val="minor"/>
          </rPr>
          <t>Seleccionar un valor del listado</t>
        </r>
      </text>
    </comment>
    <comment ref="D1462" authorId="1" shapeId="0" xr:uid="{6DD3C61E-4BB5-41BC-BD4E-A2CA8C206A87}">
      <text>
        <r>
          <rPr>
            <sz val="11"/>
            <color theme="1"/>
            <rFont val="Aptos Narrow"/>
            <family val="2"/>
            <scheme val="minor"/>
          </rPr>
          <t>Seleccione el tipo de procedimiento</t>
        </r>
      </text>
    </comment>
    <comment ref="E1462" authorId="1" shapeId="0" xr:uid="{5ED82CED-85A7-4179-96E9-65A435DADEC7}">
      <text>
        <r>
          <rPr>
            <sz val="11"/>
            <color theme="1"/>
            <rFont val="Aptos Narrow"/>
            <family val="2"/>
            <scheme val="minor"/>
          </rPr>
          <t>Seleccione un valor de la lista</t>
        </r>
      </text>
    </comment>
    <comment ref="F1462" authorId="1" shapeId="0" xr:uid="{1C5F00A0-9A9E-4FCB-A20B-9FCF84FEF81E}">
      <text>
        <r>
          <rPr>
            <sz val="11"/>
            <color theme="1"/>
            <rFont val="Aptos Narrow"/>
            <family val="2"/>
            <scheme val="minor"/>
          </rPr>
          <t>Introduzca el código SNIP</t>
        </r>
      </text>
    </comment>
    <comment ref="C1463" authorId="1" shapeId="0" xr:uid="{E55B0E76-DA35-485E-A503-54DF5D54DCA5}">
      <text>
        <r>
          <rPr>
            <sz val="11"/>
            <color theme="1"/>
            <rFont val="Aptos Narrow"/>
            <family val="2"/>
            <scheme val="minor"/>
          </rPr>
          <t>Introduzca la fecha de inicio del proceso, en formato dd-mm-aaaa</t>
        </r>
      </text>
    </comment>
    <comment ref="F1463" authorId="1" shapeId="0" xr:uid="{FF613A6D-FA4F-48EE-AC5E-F246E302A6A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64" authorId="1" shapeId="0" xr:uid="{BDB32391-98CE-461F-8518-4DC5786C64E5}">
      <text/>
    </comment>
    <comment ref="C1465" authorId="1" shapeId="0" xr:uid="{DFDFF92B-A899-43E4-8193-E13993228B0F}">
      <text>
        <r>
          <rPr>
            <sz val="11"/>
            <color theme="1"/>
            <rFont val="Aptos Narrow"/>
            <family val="2"/>
            <scheme val="minor"/>
          </rPr>
          <t>Introduzca la fecha prevista de adjudicación, en formato dd-mm-aaaa</t>
        </r>
      </text>
    </comment>
    <comment ref="F1465" authorId="1" shapeId="0" xr:uid="{7657D9AF-18F7-4EBD-827C-3B6D866D0EE3}">
      <text/>
    </comment>
    <comment ref="F1466" authorId="1" shapeId="0" xr:uid="{90D35908-4D42-47AA-A51B-CD1D9509CE1E}">
      <text/>
    </comment>
    <comment ref="A1468" authorId="1" shapeId="0" xr:uid="{EC36A3E0-5024-47E7-9119-C3997725F19A}">
      <text>
        <r>
          <rPr>
            <sz val="11"/>
            <color theme="1"/>
            <rFont val="Aptos Narrow"/>
            <family val="2"/>
            <scheme val="minor"/>
          </rPr>
          <t>Introduzca un codigo UNSPSC</t>
        </r>
      </text>
    </comment>
    <comment ref="B1468" authorId="1" shapeId="0" xr:uid="{DA63B051-293E-4E8D-A79E-BF915DEB55CF}">
      <text>
        <r>
          <rPr>
            <sz val="11"/>
            <color theme="1"/>
            <rFont val="Aptos Narrow"/>
            <family val="2"/>
            <scheme val="minor"/>
          </rPr>
          <t>Descripción calculada automáticamente a partir de código del artículo</t>
        </r>
      </text>
    </comment>
    <comment ref="C1468" authorId="1" shapeId="0" xr:uid="{3941513B-C254-45B0-BC59-55B4634AB823}">
      <text>
        <r>
          <rPr>
            <sz val="11"/>
            <color theme="1"/>
            <rFont val="Aptos Narrow"/>
            <family val="2"/>
            <scheme val="minor"/>
          </rPr>
          <t>Seleccione un valor de la lista</t>
        </r>
      </text>
    </comment>
    <comment ref="D1468" authorId="1" shapeId="0" xr:uid="{52B1273E-81B5-4A8C-A55C-708A9298465D}">
      <text>
        <r>
          <rPr>
            <sz val="11"/>
            <color theme="1"/>
            <rFont val="Aptos Narrow"/>
            <family val="2"/>
            <scheme val="minor"/>
          </rPr>
          <t>Introduzca un número con dos decimales como máximo. Debe ser igual o mayor a la "Cantidad Real Consumida"</t>
        </r>
      </text>
    </comment>
    <comment ref="E1468" authorId="1" shapeId="0" xr:uid="{0AAE170F-6052-4E3F-B1BB-0EA7475F8210}">
      <text>
        <r>
          <rPr>
            <sz val="11"/>
            <color theme="1"/>
            <rFont val="Aptos Narrow"/>
            <family val="2"/>
            <scheme val="minor"/>
          </rPr>
          <t>Introduzca un número con dos decimales como máximo</t>
        </r>
      </text>
    </comment>
    <comment ref="F1468" authorId="1" shapeId="0" xr:uid="{730ABAF6-7F14-4EC0-B107-7123B29A903A}">
      <text>
        <r>
          <rPr>
            <sz val="11"/>
            <color theme="1"/>
            <rFont val="Aptos Narrow"/>
            <family val="2"/>
            <scheme val="minor"/>
          </rPr>
          <t>Monto calculado automáticamente por el sistema</t>
        </r>
      </text>
    </comment>
    <comment ref="A1474" authorId="1" shapeId="0" xr:uid="{63BE5002-7179-4C51-B88C-3805E1DACC1F}">
      <text>
        <r>
          <rPr>
            <sz val="11"/>
            <color theme="1"/>
            <rFont val="Aptos Narrow"/>
            <family val="2"/>
            <scheme val="minor"/>
          </rPr>
          <t>Introducir un texto con el nombre o referencia de la contratación</t>
        </r>
      </text>
    </comment>
    <comment ref="B1474" authorId="1" shapeId="0" xr:uid="{21B0CBFB-3FF0-4367-A65F-7210B6C35AEB}">
      <text>
        <r>
          <rPr>
            <sz val="11"/>
            <color theme="1"/>
            <rFont val="Aptos Narrow"/>
            <family val="2"/>
            <scheme val="minor"/>
          </rPr>
          <t>Introduzca un texto con la finalidad de la contratación</t>
        </r>
      </text>
    </comment>
    <comment ref="C1474" authorId="1" shapeId="0" xr:uid="{2BCD51E1-57F9-4E48-BD5F-3667090C5D07}">
      <text>
        <r>
          <rPr>
            <sz val="11"/>
            <color theme="1"/>
            <rFont val="Aptos Narrow"/>
            <family val="2"/>
            <scheme val="minor"/>
          </rPr>
          <t>Seleccionar un valor del listado</t>
        </r>
      </text>
    </comment>
    <comment ref="D1474" authorId="1" shapeId="0" xr:uid="{BD64ECC7-306C-4B8F-9BBA-1C03B075CF59}">
      <text>
        <r>
          <rPr>
            <sz val="11"/>
            <color theme="1"/>
            <rFont val="Aptos Narrow"/>
            <family val="2"/>
            <scheme val="minor"/>
          </rPr>
          <t>Seleccione el tipo de procedimiento</t>
        </r>
      </text>
    </comment>
    <comment ref="E1474" authorId="1" shapeId="0" xr:uid="{4DC04783-95A5-4A61-8F3B-69B633D87A21}">
      <text>
        <r>
          <rPr>
            <sz val="11"/>
            <color theme="1"/>
            <rFont val="Aptos Narrow"/>
            <family val="2"/>
            <scheme val="minor"/>
          </rPr>
          <t>Seleccione un valor de la lista</t>
        </r>
      </text>
    </comment>
    <comment ref="F1474" authorId="1" shapeId="0" xr:uid="{10F9E0C7-B8AB-46CC-BEF3-72EDFA20B9BD}">
      <text>
        <r>
          <rPr>
            <sz val="11"/>
            <color theme="1"/>
            <rFont val="Aptos Narrow"/>
            <family val="2"/>
            <scheme val="minor"/>
          </rPr>
          <t>Introduzca el código SNIP</t>
        </r>
      </text>
    </comment>
    <comment ref="C1475" authorId="1" shapeId="0" xr:uid="{25AB3EDA-3533-4C0C-9E27-30509514BA26}">
      <text>
        <r>
          <rPr>
            <sz val="11"/>
            <color theme="1"/>
            <rFont val="Aptos Narrow"/>
            <family val="2"/>
            <scheme val="minor"/>
          </rPr>
          <t>Introduzca la fecha de inicio del proceso, en formato dd-mm-aaaa</t>
        </r>
      </text>
    </comment>
    <comment ref="F1475" authorId="1" shapeId="0" xr:uid="{3601AA4C-F946-4000-8B4C-FF9441DEDE3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76" authorId="1" shapeId="0" xr:uid="{D390C43F-B971-4436-9B83-C2352BEF4878}">
      <text/>
    </comment>
    <comment ref="C1477" authorId="1" shapeId="0" xr:uid="{B9B05E3C-2B6D-434E-8C06-F3885EBC417D}">
      <text>
        <r>
          <rPr>
            <sz val="11"/>
            <color theme="1"/>
            <rFont val="Aptos Narrow"/>
            <family val="2"/>
            <scheme val="minor"/>
          </rPr>
          <t>Introduzca la fecha prevista de adjudicación, en formato dd-mm-aaaa</t>
        </r>
      </text>
    </comment>
    <comment ref="F1477" authorId="1" shapeId="0" xr:uid="{23F7142C-8C8B-41E0-862F-12FF3B153A60}">
      <text/>
    </comment>
    <comment ref="F1478" authorId="1" shapeId="0" xr:uid="{21BF81AA-38E3-4D99-A16A-D3FBE94EFEC1}">
      <text/>
    </comment>
    <comment ref="A1480" authorId="1" shapeId="0" xr:uid="{1B0EB169-C040-4BD3-8DD1-116412AEE816}">
      <text>
        <r>
          <rPr>
            <sz val="11"/>
            <color theme="1"/>
            <rFont val="Aptos Narrow"/>
            <family val="2"/>
            <scheme val="minor"/>
          </rPr>
          <t>Introduzca un codigo UNSPSC</t>
        </r>
      </text>
    </comment>
    <comment ref="B1480" authorId="1" shapeId="0" xr:uid="{1C8582C6-6BDA-40B4-8573-ADA1076FE5B3}">
      <text>
        <r>
          <rPr>
            <sz val="11"/>
            <color theme="1"/>
            <rFont val="Aptos Narrow"/>
            <family val="2"/>
            <scheme val="minor"/>
          </rPr>
          <t>Descripción calculada automáticamente a partir de código del artículo</t>
        </r>
      </text>
    </comment>
    <comment ref="C1480" authorId="1" shapeId="0" xr:uid="{88FAB376-3F52-478A-AEC0-9AD9E39731B2}">
      <text>
        <r>
          <rPr>
            <sz val="11"/>
            <color theme="1"/>
            <rFont val="Aptos Narrow"/>
            <family val="2"/>
            <scheme val="minor"/>
          </rPr>
          <t>Seleccione un valor de la lista</t>
        </r>
      </text>
    </comment>
    <comment ref="D1480" authorId="1" shapeId="0" xr:uid="{CF52EEB4-BEAB-47B7-A355-CFDC6592A3ED}">
      <text>
        <r>
          <rPr>
            <sz val="11"/>
            <color theme="1"/>
            <rFont val="Aptos Narrow"/>
            <family val="2"/>
            <scheme val="minor"/>
          </rPr>
          <t>Introduzca un número con dos decimales como máximo. Debe ser igual o mayor a la "Cantidad Real Consumida"</t>
        </r>
      </text>
    </comment>
    <comment ref="E1480" authorId="1" shapeId="0" xr:uid="{B1383F22-5917-4E8B-916D-A24725C58572}">
      <text>
        <r>
          <rPr>
            <sz val="11"/>
            <color theme="1"/>
            <rFont val="Aptos Narrow"/>
            <family val="2"/>
            <scheme val="minor"/>
          </rPr>
          <t>Introduzca un número con dos decimales como máximo</t>
        </r>
      </text>
    </comment>
    <comment ref="F1480" authorId="1" shapeId="0" xr:uid="{18CF2FA4-896A-4081-8807-6AC1B8F24E46}">
      <text>
        <r>
          <rPr>
            <sz val="11"/>
            <color theme="1"/>
            <rFont val="Aptos Narrow"/>
            <family val="2"/>
            <scheme val="minor"/>
          </rPr>
          <t>Monto calculado automáticamente por el sistema</t>
        </r>
      </text>
    </comment>
  </commentList>
</comments>
</file>

<file path=xl/sharedStrings.xml><?xml version="1.0" encoding="utf-8"?>
<sst xmlns="http://schemas.openxmlformats.org/spreadsheetml/2006/main" count="2585" uniqueCount="195">
  <si>
    <t xml:space="preserve">PLAN ANUAL DE COMPRAS Y CONTRATACIONES 
</t>
  </si>
  <si>
    <t>SNCC.F.069</t>
  </si>
  <si>
    <t xml:space="preserve">Capítulo </t>
  </si>
  <si>
    <t>5180</t>
  </si>
  <si>
    <t>Version: 1.0.0</t>
  </si>
  <si>
    <t>Sub Capítulo</t>
  </si>
  <si>
    <t>01</t>
  </si>
  <si>
    <t>Unidad Ejecutora</t>
  </si>
  <si>
    <t>0001</t>
  </si>
  <si>
    <t>Cantidad Procesos Registrados</t>
  </si>
  <si>
    <t xml:space="preserve">Unidad de Compra </t>
  </si>
  <si>
    <t>Hospital Docente Universitario Doctor Francisco E, Moscoso Puello</t>
  </si>
  <si>
    <t>Monto Estimado Total</t>
  </si>
  <si>
    <t>Código de la Unidad de Compra</t>
  </si>
  <si>
    <t>001062</t>
  </si>
  <si>
    <t xml:space="preserve">Año Fiscal </t>
  </si>
  <si>
    <t>Fecha Aprobación</t>
  </si>
  <si>
    <t/>
  </si>
  <si>
    <t>NOMBRE O REFERENCIA DE CONTRATACIÓN</t>
  </si>
  <si>
    <t>FINALIDAD DE LA CONTRATACIÓN</t>
  </si>
  <si>
    <t>OBJETO DE CONTRATACIÓN</t>
  </si>
  <si>
    <t>PROCEDIMIENTO DE SELECCIÓN</t>
  </si>
  <si>
    <t>DESTINADO A MIPYMES</t>
  </si>
  <si>
    <t>CÓDIGO SNIP</t>
  </si>
  <si>
    <t>COMPRA DE MERCADO</t>
  </si>
  <si>
    <t>ABASTECER DESPENSA</t>
  </si>
  <si>
    <t>Bienes</t>
  </si>
  <si>
    <t>Compras Menores</t>
  </si>
  <si>
    <t>No</t>
  </si>
  <si>
    <t>FECHA DE NECESSIDAD</t>
  </si>
  <si>
    <t>FECHA INICIO PROCESO DE COMPRA</t>
  </si>
  <si>
    <t>LUGAR DE EJECUCIÓN / ENTREGA</t>
  </si>
  <si>
    <t>Región</t>
  </si>
  <si>
    <t>OZAMA O METROPOLITANA</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</si>
  <si>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</si>
  <si>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</si>
  <si>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</si>
  <si>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</si>
  <si>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</si>
  <si>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</si>
  <si>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</si>
  <si>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</si>
  <si>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</si>
  <si>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</si>
  <si>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</si>
  <si>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50151513</t>
  </si>
  <si>
    <t>TOTAL COMPRA ESTIMADA</t>
  </si>
  <si>
    <t xml:space="preserve">Compra de Reactivos de Laboratorio </t>
  </si>
  <si>
    <t xml:space="preserve">abastecer laboratorio </t>
  </si>
  <si>
    <t>Excepción - Bienes o servicios con exclusividad</t>
  </si>
  <si>
    <t>41116008</t>
  </si>
  <si>
    <t>41106204</t>
  </si>
  <si>
    <t>41116131</t>
  </si>
  <si>
    <t>41116130</t>
  </si>
  <si>
    <t>41116004</t>
  </si>
  <si>
    <t>41116107</t>
  </si>
  <si>
    <t>COMPRA DE DESPENSA</t>
  </si>
  <si>
    <t xml:space="preserve">ABASTER LA DESPENSA </t>
  </si>
  <si>
    <t>50221101</t>
  </si>
  <si>
    <t>50101543</t>
  </si>
  <si>
    <t>50161814</t>
  </si>
  <si>
    <t>50161511</t>
  </si>
  <si>
    <t>50192901</t>
  </si>
  <si>
    <t>50131701</t>
  </si>
  <si>
    <t>50192112</t>
  </si>
  <si>
    <t>50221102</t>
  </si>
  <si>
    <t>50171831</t>
  </si>
  <si>
    <t>50171707</t>
  </si>
  <si>
    <t>50201706</t>
  </si>
  <si>
    <t>50101716</t>
  </si>
  <si>
    <t>50181909</t>
  </si>
  <si>
    <t>50121537</t>
  </si>
  <si>
    <t>50171551</t>
  </si>
  <si>
    <t>50171903</t>
  </si>
  <si>
    <t>50171708</t>
  </si>
  <si>
    <t>abastecer  despensa</t>
  </si>
  <si>
    <t>Sí</t>
  </si>
  <si>
    <t>50171832</t>
  </si>
  <si>
    <t>abastecer despensa</t>
  </si>
  <si>
    <t xml:space="preserve">abastecer despensa </t>
  </si>
  <si>
    <t>50192902</t>
  </si>
  <si>
    <t>50201707</t>
  </si>
  <si>
    <t>ABASTECER ALMACEN</t>
  </si>
  <si>
    <t>50101538</t>
  </si>
  <si>
    <t>50171552</t>
  </si>
  <si>
    <t>50101634</t>
  </si>
  <si>
    <t>50131606</t>
  </si>
  <si>
    <t>50171550</t>
  </si>
  <si>
    <t>COMPRA DE GRANOS PARA EL AREA DE DESPENSA</t>
  </si>
  <si>
    <t>ABASTESER</t>
  </si>
  <si>
    <t>Compras por debajo del Umbral</t>
  </si>
  <si>
    <t>50221001</t>
  </si>
  <si>
    <t xml:space="preserve">ABASTESIMIENTO </t>
  </si>
  <si>
    <t>ABASTESIMIENTO</t>
  </si>
  <si>
    <t xml:space="preserve">COMPRA DE TONERS POR 5 MESES </t>
  </si>
  <si>
    <t>ABASTESER ALGUNAS IMPRESORAS DEL HOSPITAL, QUE NO ESTAN INCLUIDAS EN EL CONTRATO.</t>
  </si>
  <si>
    <t>44103103</t>
  </si>
  <si>
    <t>ABASTECER IMPRESOSRAS QUE NO ESTAN ESTIMADAS EN CONTRATO</t>
  </si>
  <si>
    <t xml:space="preserve">COMPRA DE DESPENSA </t>
  </si>
  <si>
    <t>50121538</t>
  </si>
  <si>
    <t>COMPRA DE EMBUTIDOS</t>
  </si>
  <si>
    <t>ABASTECER</t>
  </si>
  <si>
    <t>50112001</t>
  </si>
  <si>
    <t xml:space="preserve">PRODUCTOS DE LIMPIESA </t>
  </si>
  <si>
    <t>47131807</t>
  </si>
  <si>
    <t>47131803</t>
  </si>
  <si>
    <t>53131608</t>
  </si>
  <si>
    <t>42281704</t>
  </si>
  <si>
    <t>ABASTACER</t>
  </si>
  <si>
    <t>MATERIALES DE LAVANDERIA</t>
  </si>
  <si>
    <t>11161502</t>
  </si>
  <si>
    <t>11162113</t>
  </si>
  <si>
    <t>23121612</t>
  </si>
  <si>
    <t>44121618</t>
  </si>
  <si>
    <t>MATERIALES DE OFICINA</t>
  </si>
  <si>
    <t>44122118</t>
  </si>
  <si>
    <t>44122107</t>
  </si>
  <si>
    <t>44122104</t>
  </si>
  <si>
    <t>44121613</t>
  </si>
  <si>
    <t>44121716</t>
  </si>
  <si>
    <t>44121708</t>
  </si>
  <si>
    <t>44112001</t>
  </si>
  <si>
    <t>44121802</t>
  </si>
  <si>
    <t>44122003</t>
  </si>
  <si>
    <t>31201512</t>
  </si>
  <si>
    <t>60105705</t>
  </si>
  <si>
    <t>44101604</t>
  </si>
  <si>
    <t>44121706</t>
  </si>
  <si>
    <t>44121619</t>
  </si>
  <si>
    <t>44121701</t>
  </si>
  <si>
    <t>44121615</t>
  </si>
  <si>
    <t>14111514</t>
  </si>
  <si>
    <t>44112005</t>
  </si>
  <si>
    <t>44111503</t>
  </si>
  <si>
    <t>44122011</t>
  </si>
  <si>
    <t>44103121</t>
  </si>
  <si>
    <t>12171703</t>
  </si>
  <si>
    <t>44103112</t>
  </si>
  <si>
    <t>COMPRA DE IMPRESOS</t>
  </si>
  <si>
    <t xml:space="preserve">ABASTECER </t>
  </si>
  <si>
    <t>24141704</t>
  </si>
  <si>
    <t xml:space="preserve">COMPRA DE FUNDAS </t>
  </si>
  <si>
    <t>ABASTECER SUMINISTRO</t>
  </si>
  <si>
    <t>47121701</t>
  </si>
  <si>
    <t>INSUMOS DE PATOLOGIA</t>
  </si>
  <si>
    <t>ABASTECER PATOLOGIA</t>
  </si>
  <si>
    <t>41121502</t>
  </si>
  <si>
    <t>41122601</t>
  </si>
  <si>
    <t>22101703</t>
  </si>
  <si>
    <t>EQUIPOS INFORMATICOS</t>
  </si>
  <si>
    <t>43201601</t>
  </si>
  <si>
    <t>43201503</t>
  </si>
  <si>
    <t>SERVICIO DE ALQUILER DE IMPRESORAS</t>
  </si>
  <si>
    <t>PARA FUNCIONAMIENTO DEL HOSPITAL</t>
  </si>
  <si>
    <t>Comparacion de Precios</t>
  </si>
  <si>
    <t>44101501</t>
  </si>
  <si>
    <t xml:space="preserve">COMPRA DE SALINOS </t>
  </si>
  <si>
    <t>ABASTECER ALMACEN DE MEDICAMENTOS</t>
  </si>
  <si>
    <t>51191702</t>
  </si>
  <si>
    <t>RECOLECCION DE DESECHOS BIOLOGICOS Y/O PELIGROSO (BASURA ROJA)</t>
  </si>
  <si>
    <t>RECOGIDA DE BASURA ROJA</t>
  </si>
  <si>
    <t>Servicios</t>
  </si>
  <si>
    <t>76121501</t>
  </si>
  <si>
    <t xml:space="preserve">COMRA DE DESECHABLES </t>
  </si>
  <si>
    <t>PARA DESPENSA</t>
  </si>
  <si>
    <t>52151502</t>
  </si>
  <si>
    <t>SERVICIO DE PLOMADO</t>
  </si>
  <si>
    <t>servicio de plomado</t>
  </si>
  <si>
    <t>27111804</t>
  </si>
  <si>
    <t>Servicio electrico</t>
  </si>
  <si>
    <t>81101701</t>
  </si>
  <si>
    <t>BOMBA ANTICEPTICO</t>
  </si>
  <si>
    <t>82121905</t>
  </si>
  <si>
    <t>OXIGENO</t>
  </si>
  <si>
    <t>SUMINITRO DE OXIGENO Y CO2 POR UN AÑO</t>
  </si>
  <si>
    <t>Licitacion Publica</t>
  </si>
  <si>
    <t>COMPRA DE FUNDAS</t>
  </si>
  <si>
    <t>COMPRA PAPEL TOALLA</t>
  </si>
  <si>
    <t xml:space="preserve">COMPRA PAPEL TOALLA Y PAPEL DE BAÑO </t>
  </si>
  <si>
    <t>COMPRA DE UNIFORMES PARA DIFERENTES AREAS</t>
  </si>
  <si>
    <t>UNIFORMAR AREA MEDICA Y DIRECCION</t>
  </si>
  <si>
    <t>53101602</t>
  </si>
  <si>
    <t>82121510</t>
  </si>
  <si>
    <t xml:space="preserve">COMPRA DE COMPUTADORAS Y ACCESORIOS PARA DIF. DEPARTAMENTOS DEL HOSPITAL </t>
  </si>
  <si>
    <t>COMPRA DE COMPUTADORAS PARA USO DEL HOSPITAL</t>
  </si>
  <si>
    <t>43211507</t>
  </si>
  <si>
    <t>43211706</t>
  </si>
  <si>
    <t>43211708</t>
  </si>
  <si>
    <t>39121004</t>
  </si>
  <si>
    <t>26121629</t>
  </si>
  <si>
    <t>43201810</t>
  </si>
  <si>
    <t>39121409</t>
  </si>
  <si>
    <t>43222819</t>
  </si>
  <si>
    <t>26111701</t>
  </si>
  <si>
    <t>43212101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</si>
</sst>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2" x14ac:knownFonts="1">
    <font>
      <sz val="11"/>
      <color theme="1"/>
      <name val="Aptos Narrow"/>
      <family val="2"/>
      <scheme val="minor"/>
    </font>
    <font>
      <sz val="11"/>
      <color theme="1"/>
      <name val="Aptos Narrow"/>
      <family val="2"/>
      <scheme val="minor"/>
    </font>
    <font>
      <sz val="14"/>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sz val="9"/>
      <color theme="1"/>
      <name val="Calibri"/>
      <family val="2"/>
    </font>
    <font>
      <b/>
      <sz val="9"/>
      <color theme="1"/>
      <name val="Calibri"/>
      <family val="2"/>
    </font>
    <font>
      <sz val="8"/>
      <color theme="1"/>
      <name val="Aptos Narrow"/>
      <family val="2"/>
      <scheme val="minor"/>
    </font>
    <font>
      <b/>
      <sz val="8"/>
      <color theme="1"/>
      <name val="Aptos Narrow"/>
      <family val="2"/>
      <scheme val="minor"/>
    </font>
    <font>
      <b/>
      <sz val="9"/>
      <name val="Tahoma"/>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10" fillId="6" borderId="6">
      <alignment horizontal="center" vertical="center" wrapText="1"/>
    </xf>
    <xf numFmtId="0" fontId="10" fillId="0" borderId="6">
      <alignment horizontal="center" vertical="center"/>
    </xf>
    <xf numFmtId="0" fontId="10" fillId="6" borderId="6">
      <alignment horizontal="center" vertical="center" textRotation="90" wrapText="1"/>
    </xf>
    <xf numFmtId="0" fontId="10" fillId="7" borderId="6">
      <alignment horizontal="center" vertical="center"/>
    </xf>
    <xf numFmtId="166" fontId="10" fillId="0" borderId="6">
      <alignment horizontal="center" vertical="center"/>
    </xf>
    <xf numFmtId="0" fontId="10" fillId="7" borderId="6">
      <alignment horizontal="center" vertical="center"/>
    </xf>
    <xf numFmtId="0" fontId="10" fillId="0" borderId="6">
      <alignment horizontal="left" vertical="center"/>
    </xf>
    <xf numFmtId="0" fontId="10" fillId="0" borderId="6">
      <alignment horizontal="center" vertical="center"/>
    </xf>
    <xf numFmtId="0" fontId="10" fillId="8" borderId="6">
      <alignment horizontal="center" vertical="center"/>
    </xf>
    <xf numFmtId="0" fontId="9" fillId="9" borderId="8">
      <alignment horizontal="center" vertical="center"/>
    </xf>
    <xf numFmtId="0" fontId="9" fillId="9" borderId="8">
      <alignment horizontal="center" vertical="center" wrapText="1"/>
    </xf>
    <xf numFmtId="0" fontId="9" fillId="9" borderId="8">
      <alignment horizontal="left" vertical="center"/>
    </xf>
    <xf numFmtId="167" fontId="9" fillId="9" borderId="8">
      <alignment horizontal="center" vertical="center"/>
    </xf>
  </cellStyleXfs>
  <cellXfs count="47">
    <xf numFmtId="0" fontId="0" fillId="0" borderId="0" xfId="0"/>
    <xf numFmtId="0" fontId="2" fillId="0" borderId="0" xfId="0" applyFont="1" applyAlignment="1" applyProtection="1">
      <alignment horizontal="center" vertical="center"/>
      <protection hidden="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pplyProtection="1">
      <alignment vertical="center"/>
      <protection hidden="1"/>
    </xf>
    <xf numFmtId="0" fontId="3" fillId="3" borderId="0" xfId="0" applyFont="1" applyFill="1" applyAlignment="1">
      <alignment horizontal="center" vertical="top" wrapText="1"/>
    </xf>
    <xf numFmtId="0" fontId="4" fillId="2" borderId="0" xfId="0" applyFont="1" applyFill="1" applyAlignment="1">
      <alignment vertical="top" wrapText="1"/>
    </xf>
    <xf numFmtId="0" fontId="3" fillId="3" borderId="0" xfId="0" applyFont="1" applyFill="1" applyAlignment="1">
      <alignment horizontal="center" vertical="center" wrapText="1"/>
    </xf>
    <xf numFmtId="0" fontId="4" fillId="2" borderId="0" xfId="0" applyFont="1" applyFill="1" applyAlignment="1">
      <alignment vertical="center" wrapText="1"/>
    </xf>
    <xf numFmtId="0" fontId="2"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7" fillId="2" borderId="0" xfId="0" applyFont="1" applyFill="1" applyAlignment="1" applyProtection="1">
      <alignment vertical="center"/>
      <protection hidden="1"/>
    </xf>
    <xf numFmtId="0" fontId="7" fillId="2" borderId="3" xfId="0" applyFont="1" applyFill="1" applyBorder="1" applyAlignment="1" applyProtection="1">
      <alignment vertical="center"/>
      <protection hidden="1"/>
    </xf>
    <xf numFmtId="38" fontId="8" fillId="4" borderId="4" xfId="0" applyNumberFormat="1" applyFont="1" applyFill="1" applyBorder="1" applyAlignment="1">
      <alignmen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6" fillId="2" borderId="0" xfId="0" applyFont="1" applyFill="1" applyAlignment="1">
      <alignment vertical="center"/>
    </xf>
    <xf numFmtId="0" fontId="8" fillId="5" borderId="4" xfId="0" applyFont="1" applyFill="1" applyBorder="1" applyAlignment="1">
      <alignment horizontal="left" vertical="center"/>
    </xf>
    <xf numFmtId="0" fontId="8" fillId="0" borderId="6" xfId="0" applyFont="1" applyBorder="1" applyAlignment="1">
      <alignment vertical="center"/>
    </xf>
    <xf numFmtId="0" fontId="8" fillId="5" borderId="7" xfId="0" applyFont="1" applyFill="1" applyBorder="1" applyAlignment="1">
      <alignment horizontal="left" vertical="center"/>
    </xf>
    <xf numFmtId="164" fontId="8" fillId="0" borderId="6" xfId="0" applyNumberFormat="1" applyFont="1" applyBorder="1" applyAlignment="1">
      <alignment vertical="center"/>
    </xf>
    <xf numFmtId="1" fontId="8" fillId="0" borderId="4" xfId="0" applyNumberFormat="1" applyFont="1" applyBorder="1" applyAlignment="1" applyProtection="1">
      <alignment horizontal="center" vertical="center" wrapText="1"/>
      <protection locked="0"/>
    </xf>
    <xf numFmtId="1" fontId="8" fillId="0" borderId="5" xfId="0" applyNumberFormat="1" applyFont="1" applyBorder="1" applyAlignment="1" applyProtection="1">
      <alignment horizontal="center" vertical="center" wrapText="1"/>
      <protection locked="0"/>
    </xf>
    <xf numFmtId="0" fontId="7" fillId="2" borderId="2" xfId="0" applyFont="1" applyFill="1" applyBorder="1" applyAlignment="1" applyProtection="1">
      <alignment vertical="center"/>
      <protection hidden="1"/>
    </xf>
    <xf numFmtId="165" fontId="8" fillId="0" borderId="4" xfId="0" applyNumberFormat="1" applyFont="1" applyBorder="1" applyAlignment="1" applyProtection="1">
      <alignment horizontal="center" vertical="center" wrapText="1"/>
      <protection locked="0"/>
    </xf>
    <xf numFmtId="165" fontId="8" fillId="0" borderId="5" xfId="0" applyNumberFormat="1" applyFont="1" applyBorder="1" applyAlignment="1" applyProtection="1">
      <alignment horizontal="center" vertical="center" wrapText="1"/>
      <protection locked="0"/>
    </xf>
    <xf numFmtId="0" fontId="9" fillId="0" borderId="0" xfId="0" applyFont="1" applyAlignment="1">
      <alignment vertical="center"/>
    </xf>
    <xf numFmtId="0" fontId="10" fillId="6" borderId="6" xfId="1">
      <alignment horizontal="center" vertical="center" wrapText="1"/>
    </xf>
    <xf numFmtId="0" fontId="10" fillId="0" borderId="6" xfId="2" applyProtection="1">
      <alignment horizontal="center" vertical="center"/>
      <protection locked="0"/>
    </xf>
    <xf numFmtId="0" fontId="10" fillId="6" borderId="6" xfId="3">
      <alignment horizontal="center" vertical="center" textRotation="90" wrapText="1"/>
    </xf>
    <xf numFmtId="0" fontId="10" fillId="7" borderId="6" xfId="4">
      <alignment horizontal="center" vertical="center"/>
    </xf>
    <xf numFmtId="166" fontId="10" fillId="0" borderId="6" xfId="5" applyProtection="1">
      <alignment horizontal="center" vertical="center"/>
      <protection locked="0"/>
    </xf>
    <xf numFmtId="0" fontId="10" fillId="7" borderId="6" xfId="6">
      <alignment horizontal="center" vertical="center"/>
    </xf>
    <xf numFmtId="0" fontId="10" fillId="0" borderId="6" xfId="7" applyProtection="1">
      <alignment horizontal="left" vertical="center"/>
      <protection locked="0"/>
    </xf>
    <xf numFmtId="0" fontId="10" fillId="0" borderId="6" xfId="2">
      <alignment horizontal="center" vertical="center"/>
    </xf>
    <xf numFmtId="0" fontId="10" fillId="0" borderId="6" xfId="8">
      <alignment horizontal="center" vertical="center"/>
    </xf>
    <xf numFmtId="0" fontId="10" fillId="8" borderId="6" xfId="9">
      <alignment horizontal="center" vertical="center"/>
    </xf>
    <xf numFmtId="0" fontId="9" fillId="9" borderId="8" xfId="10" applyProtection="1">
      <alignment horizontal="center" vertical="center"/>
      <protection locked="0"/>
    </xf>
    <xf numFmtId="0" fontId="9" fillId="9" borderId="8" xfId="11">
      <alignment horizontal="center" vertical="center" wrapText="1"/>
    </xf>
    <xf numFmtId="0" fontId="9" fillId="9" borderId="8" xfId="12" applyProtection="1">
      <alignment horizontal="left" vertical="center"/>
      <protection locked="0"/>
    </xf>
    <xf numFmtId="167" fontId="9" fillId="9" borderId="8" xfId="13" applyProtection="1">
      <alignment horizontal="center" vertical="center"/>
      <protection locked="0"/>
    </xf>
    <xf numFmtId="167" fontId="9" fillId="9" borderId="8" xfId="13">
      <alignment horizontal="center" vertical="center"/>
    </xf>
    <xf numFmtId="0" fontId="10" fillId="8" borderId="8" xfId="9" applyBorder="1">
      <alignment horizontal="center" vertical="center"/>
    </xf>
    <xf numFmtId="167" fontId="9" fillId="8" borderId="8" xfId="13" applyFill="1">
      <alignment horizontal="center" vertical="center"/>
    </xf>
    <xf numFmtId="0" fontId="0" fillId="0" borderId="0" xfId="0" applyAlignment="1">
      <alignment vertical="center"/>
    </xf>
  </cellXfs>
  <cellStyles count="14">
    <cellStyle name="ArticleBody" xfId="10" xr:uid="{462C2B68-B164-4A46-8782-BFB427259125}"/>
    <cellStyle name="ArticleBody_currency" xfId="13" xr:uid="{D0E7C677-1E01-41E6-97B3-19BD686D5BDC}"/>
    <cellStyle name="ArticleBody_text" xfId="12" xr:uid="{65F99B2E-D562-49D1-8912-894D4A3B6B5E}"/>
    <cellStyle name="ArticleBody_UNSCPCDescription" xfId="11" xr:uid="{8E500ADA-328D-4E76-ABAE-E0CF29DB64D8}"/>
    <cellStyle name="ArticleHeader" xfId="9" xr:uid="{3ED33E3E-82CB-41B2-96C5-0AD15C88B93A}"/>
    <cellStyle name="Normal" xfId="0" builtinId="0"/>
    <cellStyle name="ProcessBody" xfId="2" xr:uid="{7E6D7B22-A08A-46E2-B8AA-B4DE5128FC33}"/>
    <cellStyle name="ProcessBody_address" xfId="7" xr:uid="{6A650E7A-0342-4F69-B631-6353CF4E0C46}"/>
    <cellStyle name="ProcessBody_datetime" xfId="5" xr:uid="{FF709E18-7812-4176-9FE4-431D5C16E66A}"/>
    <cellStyle name="ProcessBody_number" xfId="8" xr:uid="{ADEC3D30-AD7B-4141-82FD-F215824E76C8}"/>
    <cellStyle name="ProcessHeader" xfId="1" xr:uid="{ECE3220E-7B7C-4A01-922C-2C507F0DD85E}"/>
    <cellStyle name="ProcessHeader_vertical" xfId="3" xr:uid="{C2BF4051-1323-4D2E-870B-320C1AF307EF}"/>
    <cellStyle name="ProcessSubHeader" xfId="4" xr:uid="{24FF7534-448B-440E-BBF3-F4B59D25F1B5}"/>
    <cellStyle name="ProcessSubHeader_lugar" xfId="6" xr:uid="{3C3E5408-4B63-4C08-9150-48A63C049C64}"/>
  </cellStyles>
  <dxfs count="7">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0</xdr:rowOff>
    </xdr:from>
    <xdr:to>
      <xdr:col>0</xdr:col>
      <xdr:colOff>1866655</xdr:colOff>
      <xdr:row>4</xdr:row>
      <xdr:rowOff>103186</xdr:rowOff>
    </xdr:to>
    <xdr:pic>
      <xdr:nvPicPr>
        <xdr:cNvPr id="4" name="Picture 2">
          <a:extLst>
            <a:ext uri="{FF2B5EF4-FFF2-40B4-BE49-F238E27FC236}">
              <a16:creationId xmlns:a16="http://schemas.microsoft.com/office/drawing/2014/main" id="{05285F68-C551-4E7A-A160-163E7D61AD8D}"/>
            </a:ext>
          </a:extLst>
        </xdr:cNvPr>
        <xdr:cNvPicPr>
          <a:picLocks noChangeAspect="1"/>
        </xdr:cNvPicPr>
      </xdr:nvPicPr>
      <xdr:blipFill>
        <a:blip xmlns:r="http://schemas.openxmlformats.org/officeDocument/2006/relationships" r:embed="rId1"/>
        <a:stretch>
          <a:fillRect/>
        </a:stretch>
      </xdr:blipFill>
      <xdr:spPr>
        <a:xfrm>
          <a:off x="180976" y="0"/>
          <a:ext cx="1685679" cy="1220786"/>
        </a:xfrm>
        <a:prstGeom prst="rect">
          <a:avLst/>
        </a:prstGeom>
        <a:noFill/>
        <a:ln>
          <a:noFill/>
        </a:ln>
      </xdr:spPr>
    </xdr:pic>
    <xdr:clientData/>
  </xdr:twoCellAnchor>
  <xdr:twoCellAnchor editAs="oneCell">
    <xdr:from>
      <xdr:col>5</xdr:col>
      <xdr:colOff>444500</xdr:colOff>
      <xdr:row>0</xdr:row>
      <xdr:rowOff>76200</xdr:rowOff>
    </xdr:from>
    <xdr:to>
      <xdr:col>5</xdr:col>
      <xdr:colOff>2543175</xdr:colOff>
      <xdr:row>4</xdr:row>
      <xdr:rowOff>152400</xdr:rowOff>
    </xdr:to>
    <xdr:pic>
      <xdr:nvPicPr>
        <xdr:cNvPr id="5" name="Picture 5">
          <a:extLst>
            <a:ext uri="{FF2B5EF4-FFF2-40B4-BE49-F238E27FC236}">
              <a16:creationId xmlns:a16="http://schemas.microsoft.com/office/drawing/2014/main" id="{C86D1700-38A8-42E9-9074-2182ACDCE9DC}"/>
            </a:ext>
          </a:extLst>
        </xdr:cNvPr>
        <xdr:cNvPicPr>
          <a:picLocks noChangeAspect="1"/>
        </xdr:cNvPicPr>
      </xdr:nvPicPr>
      <xdr:blipFill>
        <a:blip xmlns:r="http://schemas.openxmlformats.org/officeDocument/2006/relationships" r:embed="rId2"/>
        <a:srcRect t="15399" b="14198"/>
        <a:stretch>
          <a:fillRect/>
        </a:stretch>
      </xdr:blipFill>
      <xdr:spPr>
        <a:xfrm>
          <a:off x="14198600" y="76200"/>
          <a:ext cx="2098675" cy="1193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bre%20Acceso\Desktop\Downloads\PACC%202026-HFMP.xlsm" TargetMode="External"/><Relationship Id="rId1" Type="http://schemas.openxmlformats.org/officeDocument/2006/relationships/externalLinkPath" Target="Downloads/PACC%202026-HFM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A772A2F5-4A15-4BC4-B730-5A388B81CCF0}" name="Table41" displayName="Table41" ref="A1244:F1262" totalsRowShown="0">
  <tableColumns count="6">
    <tableColumn id="1" xr3:uid="{1647FB76-355D-4919-B0A6-59E21AE9D166}" name="CÓDIGO CATÁLOGO"/>
    <tableColumn id="2" xr3:uid="{15A70339-1ACB-4992-846C-665393714345}" name="ARTÍCULO">
      <calculatedColumnFormula>IFERROR(INDEX(UNSPSCDes,MATCH(INDIRECT(ADDRESS(ROW(),COLUMN()-1,4)),UNSPSCCode,0)),IF(INDIRECT(ADDRESS(ROW(),COLUMN()-1,4))="24141704","Instrucciones o insertos impresos",""))</calculatedColumnFormula>
    </tableColumn>
    <tableColumn id="3" xr3:uid="{C1965E16-B4B6-4B13-8E6C-74C454CDC1F7}" name="UNIDAD DE MEDIDA"/>
    <tableColumn id="4" xr3:uid="{FC15DCD1-8504-4920-9814-E1F87606BC1A}" name="CANTIDAD TOTAL ESTIMADA"/>
    <tableColumn id="5" xr3:uid="{ADCEF2EE-BF89-4191-AB7E-EDC4A7490E01}" name="PRECIO UNITARIO ESTIMADO"/>
    <tableColumn id="6" xr3:uid="{AB3643C5-3A0C-4D5B-B11E-612D9132E8E7}"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70E904D-2832-4131-8505-545674B0A364}" name="Table17" displayName="Table17" ref="A603:F647" totalsRowShown="0">
  <tableColumns count="6">
    <tableColumn id="1" xr3:uid="{4A34AF0D-9393-4146-BD7E-0F4322ADA49E}" name="CÓDIGO CATÁLOGO"/>
    <tableColumn id="2" xr3:uid="{E0501957-9AFC-40E0-BACB-C264EEEA4F24}" name="ARTÍCULO"/>
    <tableColumn id="3" xr3:uid="{CD268037-3286-4E60-AA3A-FF093AAE8ECE}" name="UNIDAD DE MEDIDA"/>
    <tableColumn id="4" xr3:uid="{85E345DF-D6FC-4F2F-BFED-2863E089A8F3}" name="CANTIDAD TOTAL ESTIMADA"/>
    <tableColumn id="5" xr3:uid="{13B12319-29F1-49EE-A72B-97717D6276D9}" name="PRECIO UNITARIO ESTIMADO"/>
    <tableColumn id="6" xr3:uid="{8B084553-308F-4E88-9D66-CFCA556E59C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26143DE2-9159-402B-929D-D4F266F61369}" name="Table15" displayName="Table15" ref="A495:F539" totalsRowShown="0">
  <tableColumns count="6">
    <tableColumn id="1" xr3:uid="{EE9C7A6E-F3EC-4239-94F4-05ABA7E28EE3}" name="CÓDIGO CATÁLOGO"/>
    <tableColumn id="2" xr3:uid="{722E3196-0474-4054-8AF9-F98E733350D6}" name="ARTÍCULO"/>
    <tableColumn id="3" xr3:uid="{824304D2-5FF0-414D-A260-AB203DEEC02A}" name="UNIDAD DE MEDIDA"/>
    <tableColumn id="4" xr3:uid="{E8AB42E6-4FF5-40FD-814E-E2D42B6B8225}" name="CANTIDAD TOTAL ESTIMADA"/>
    <tableColumn id="5" xr3:uid="{96ABF50D-5660-471C-B678-1546B66BC881}" name="PRECIO UNITARIO ESTIMADO"/>
    <tableColumn id="6" xr3:uid="{1D3A6274-926B-4A8B-86D3-0ABBE33C8749}"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7383269-EDE9-4A94-A4B0-656872D66BC5}" name="Table51" displayName="Table51" ref="A1402:F1403" totalsRowShown="0">
  <tableColumns count="6">
    <tableColumn id="1" xr3:uid="{96BE08B4-743C-445D-A562-C575C8FB2C39}" name="CÓDIGO CATÁLOGO"/>
    <tableColumn id="2" xr3:uid="{430918F3-B23F-4DF9-83DE-6B958D08FF97}" name="ARTÍCULO">
      <calculatedColumnFormula>IFERROR(INDEX(UNSPSCDes,MATCH(INDIRECT(ADDRESS(ROW(),COLUMN()-1,4)),UNSPSCCode,0)),IF(INDIRECT(ADDRESS(ROW(),COLUMN()-1,4))="27111804","Plomadas",""))</calculatedColumnFormula>
    </tableColumn>
    <tableColumn id="3" xr3:uid="{04A01EF4-9125-461D-8BAB-426F2F5A05F0}" name="UNIDAD DE MEDIDA">
      <calculatedColumnFormula>IFERROR(VLOOKUP("UD",'[1]Informacion '!P:Q,2,FALSE),"")</calculatedColumnFormula>
    </tableColumn>
    <tableColumn id="4" xr3:uid="{D839D9EB-EF87-4D37-8645-5DB0022A7E52}" name="CANTIDAD TOTAL ESTIMADA"/>
    <tableColumn id="5" xr3:uid="{A1400154-6EC1-4EB2-BF3A-449B90CBAE5E}" name="PRECIO UNITARIO ESTIMADO"/>
    <tableColumn id="6" xr3:uid="{B9FE2395-D84B-4F5E-A92E-5176D6F88F19}"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05E85D2-9C09-47D7-8A80-EC794E8B36E0}" name="Table43" displayName="Table43" ref="A1290:F1298" totalsRowShown="0">
  <tableColumns count="6">
    <tableColumn id="1" xr3:uid="{122F3CA2-1D66-43AA-B999-E2213DCF708D}" name="CÓDIGO CATÁLOGO"/>
    <tableColumn id="2" xr3:uid="{434D549D-4656-43BD-A6F2-7E16E8BB5694}" name="ARTÍCULO">
      <calculatedColumnFormula>IFERROR(INDEX(UNSPSCDes,MATCH(INDIRECT(ADDRESS(ROW(),COLUMN()-1,4)),UNSPSCCode,0)),IF(INDIRECT(ADDRESS(ROW(),COLUMN()-1,4))="47121701","Bolsas de basura",""))</calculatedColumnFormula>
    </tableColumn>
    <tableColumn id="3" xr3:uid="{DE85CC5D-F843-4E41-8DB9-C85984332837}" name="UNIDAD DE MEDIDA">
      <calculatedColumnFormula>IFERROR(VLOOKUP("UD",'[1]Informacion '!P:Q,2,FALSE),"")</calculatedColumnFormula>
    </tableColumn>
    <tableColumn id="4" xr3:uid="{7EC7645F-7A97-4472-A6B8-C4252D1CBEDA}" name="CANTIDAD TOTAL ESTIMADA"/>
    <tableColumn id="5" xr3:uid="{C6AB5D78-6687-4FC7-8745-AF216C0B5644}" name="PRECIO UNITARIO ESTIMADO"/>
    <tableColumn id="6" xr3:uid="{F8989AEA-3FDD-4371-83FE-E2B4F6D9D444}"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C988867-1A36-40F8-BB5A-1A95847BD2A3}" name="Table45" displayName="Table45" ref="A1324:F1326" totalsRowShown="0">
  <tableColumns count="6">
    <tableColumn id="1" xr3:uid="{054CC27B-A2F8-4240-A81D-7F19EAD3A1FF}" name="CÓDIGO CATÁLOGO"/>
    <tableColumn id="2" xr3:uid="{25D3E787-9740-4C53-A480-BDC4464669F7}" name="ARTÍCULO"/>
    <tableColumn id="3" xr3:uid="{95827087-E9C5-4D83-A626-61335C4723B2}" name="UNIDAD DE MEDIDA">
      <calculatedColumnFormula>IFERROR(VLOOKUP("UD",'[1]Informacion '!P:Q,2,FALSE),"")</calculatedColumnFormula>
    </tableColumn>
    <tableColumn id="4" xr3:uid="{A50D3299-4846-418D-AAC8-0012A324C032}" name="CANTIDAD TOTAL ESTIMADA"/>
    <tableColumn id="5" xr3:uid="{D46BC185-83CA-4306-88DD-B127898F97E2}" name="PRECIO UNITARIO ESTIMADO"/>
    <tableColumn id="6" xr3:uid="{68DD4F87-AD19-435D-9A16-654702581E1E}"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EA820CD3-AFB1-493D-A9A3-F7D555636AC9}" name="Table57" displayName="Table57" ref="A1468:F1470" totalsRowShown="0">
  <tableColumns count="6">
    <tableColumn id="1" xr3:uid="{037EAAAD-9E61-4AD1-87F8-C369DAC1F1BA}" name="CÓDIGO CATÁLOGO"/>
    <tableColumn id="2" xr3:uid="{778A119B-FA89-4C56-8057-39BDB74F79D4}" name="ARTÍCULO"/>
    <tableColumn id="3" xr3:uid="{82413833-E95F-49C4-8921-B8DFB239F79D}" name="UNIDAD DE MEDIDA">
      <calculatedColumnFormula>IFERROR(VLOOKUP("UD",'[1]Informacion '!P:Q,2,FALSE),"")</calculatedColumnFormula>
    </tableColumn>
    <tableColumn id="4" xr3:uid="{F1BB3D30-AB58-45E3-BE51-69F67DB70ECE}" name="CANTIDAD TOTAL ESTIMADA"/>
    <tableColumn id="5" xr3:uid="{5E1A7093-D2C5-4230-9C7A-97C43E884151}" name="PRECIO UNITARIO ESTIMADO"/>
    <tableColumn id="6" xr3:uid="{169FBAE4-C9E7-41DE-A06D-332EE552898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81783AE-E73A-4616-BC5D-4F5F621F0D1D}" name="Table8" displayName="Table8" ref="A195:F226" totalsRowShown="0">
  <tableColumns count="6">
    <tableColumn id="1" xr3:uid="{659AF9AE-8382-4DBC-ADC0-F801E86C3CEC}" name="CÓDIGO CATÁLOGO"/>
    <tableColumn id="2" xr3:uid="{BE9A9EA6-22F2-41CE-A2F6-816712A66548}" name="ARTÍCULO"/>
    <tableColumn id="3" xr3:uid="{A839D9A6-DB01-4C1A-BF43-533247786685}" name="UNIDAD DE MEDIDA">
      <calculatedColumnFormula>IFERROR(VLOOKUP("UD",'[1]Informacion '!P:Q,2,FALSE),"")</calculatedColumnFormula>
    </tableColumn>
    <tableColumn id="4" xr3:uid="{F2402DCA-9573-4DB6-804A-14A917619B6B}" name="CANTIDAD TOTAL ESTIMADA"/>
    <tableColumn id="5" xr3:uid="{4A6872A0-0888-483E-9357-7F136706A53F}" name="PRECIO UNITARIO ESTIMADO"/>
    <tableColumn id="6" xr3:uid="{09C215F7-7CC6-4A1D-A57B-AC265C11109E}"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013205B-18C3-43CE-845B-8826D0F01194}" name="Table36" displayName="Table36" ref="A1088:F1096" totalsRowShown="0">
  <tableColumns count="6">
    <tableColumn id="1" xr3:uid="{14399253-1C01-4F94-9BFF-F628C27A24CB}" name="CÓDIGO CATÁLOGO"/>
    <tableColumn id="2" xr3:uid="{D508B248-9893-461B-95C0-90F35D70D59D}" name="ARTÍCULO"/>
    <tableColumn id="3" xr3:uid="{6E4DBAF8-71E5-4C90-8E16-4CD7BCE5FE82}" name="UNIDAD DE MEDIDA"/>
    <tableColumn id="4" xr3:uid="{51E4A70A-7DAA-4B97-ACFA-053E045E7C48}" name="CANTIDAD TOTAL ESTIMADA"/>
    <tableColumn id="5" xr3:uid="{FAD3C214-7A42-40F4-A7B2-7F673DE314D2}" name="PRECIO UNITARIO ESTIMADO"/>
    <tableColumn id="6" xr3:uid="{615659B2-39D9-486D-B7B8-F4EB488D3543}"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A2365D6A-B237-4DEE-9E0A-41B1B147E312}" name="Table50" displayName="Table50" ref="A1380:F1392" totalsRowShown="0">
  <tableColumns count="6">
    <tableColumn id="1" xr3:uid="{61C87652-70DB-4AC9-979C-E1D5C499ECAD}" name="CÓDIGO CATÁLOGO"/>
    <tableColumn id="2" xr3:uid="{A7F4552E-29F2-4E13-ACE1-1DC6C40766DC}" name="ARTÍCULO">
      <calculatedColumnFormula>IFERROR(INDEX(UNSPSCDes,MATCH(INDIRECT(ADDRESS(ROW(),COLUMN()-1,4)),UNSPSCCode,0)),IF(INDIRECT(ADDRESS(ROW(),COLUMN()-1,4))="52151502","Platos desechables para uso doméstico",""))</calculatedColumnFormula>
    </tableColumn>
    <tableColumn id="3" xr3:uid="{1F7B0ACE-34B2-4945-B70B-B9B652266160}" name="UNIDAD DE MEDIDA"/>
    <tableColumn id="4" xr3:uid="{EFAED410-B5EC-4A72-8F59-BEBED4BBC223}" name="CANTIDAD TOTAL ESTIMADA"/>
    <tableColumn id="5" xr3:uid="{8486284D-DBCE-41FF-9361-14CA6F005C12}" name="PRECIO UNITARIO ESTIMADO"/>
    <tableColumn id="6" xr3:uid="{4AAE63CA-50DE-46FB-B918-1FE7AC8DDF8A}"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5492991-6B30-45BD-B971-F4D0EC046A10}" name="Table44" displayName="Table44" ref="A1308:F1314" totalsRowShown="0">
  <tableColumns count="6">
    <tableColumn id="1" xr3:uid="{223627DB-9B6A-479D-9B0F-3F152A6FA4EB}" name="CÓDIGO CATÁLOGO"/>
    <tableColumn id="2" xr3:uid="{3785651D-3F1B-4284-854C-98A32F2BEB5B}" name="ARTÍCULO"/>
    <tableColumn id="3" xr3:uid="{BE1C18F0-1A42-459A-BDC4-7CB5A1C5758D}" name="UNIDAD DE MEDIDA"/>
    <tableColumn id="4" xr3:uid="{CD09AB2B-29E8-4A7A-A3FE-5BD9818B6C07}" name="CANTIDAD TOTAL ESTIMADA"/>
    <tableColumn id="5" xr3:uid="{6EBCA3D6-65E0-4839-8F2E-225CA5A2C20C}" name="PRECIO UNITARIO ESTIMADO"/>
    <tableColumn id="6" xr3:uid="{C7C7BA0C-E75B-404A-AEA5-BEEB86ED4D0E}"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A3C0423-2772-4E95-8BD9-E696CE4BD681}" name="Table55" displayName="Table55" ref="A1446:F1447" totalsRowShown="0">
  <tableColumns count="6">
    <tableColumn id="1" xr3:uid="{AECE5492-9043-478A-8EC5-55F1C741242C}" name="CÓDIGO CATÁLOGO" dataDxfId="6" dataCellStyle="ArticleBody"/>
    <tableColumn id="2" xr3:uid="{6ADDBDFE-406C-4697-BB4D-E6977AADAF3A}" name="ARTÍCULO">
      <calculatedColumnFormula>IFERROR(INDEX(UNSPSCDes,MATCH(INDIRECT(ADDRESS(ROW(),COLUMN()-1,4)),UNSPSCCode,0)),IF(INDIRECT(ADDRESS(ROW(),COLUMN()-1,4))="82121905","Restauración o reparación de encuadernaciones",""))</calculatedColumnFormula>
    </tableColumn>
    <tableColumn id="3" xr3:uid="{E8E44697-F642-48FA-8282-D9DC14C68F35}" name="UNIDAD DE MEDIDA">
      <calculatedColumnFormula>IFERROR(VLOOKUP("UD",'[1]Informacion '!P:Q,2,FALSE),"")</calculatedColumnFormula>
    </tableColumn>
    <tableColumn id="4" xr3:uid="{71E11E4C-C873-4CAB-A9A0-4029507A44D1}" name="CANTIDAD TOTAL ESTIMADA"/>
    <tableColumn id="5" xr3:uid="{06DB83E5-1394-4516-B1A3-35ADE342F40E}" name="PRECIO UNITARIO ESTIMADO"/>
    <tableColumn id="6" xr3:uid="{BC8D365E-5409-4756-95DF-3540C0ABBBB4}"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CD201B19-4E41-4926-8513-10271D29C838}" name="Table21" displayName="Table21" ref="A819:F824" totalsRowShown="0">
  <tableColumns count="6">
    <tableColumn id="1" xr3:uid="{09B88055-93BC-402E-9E06-99A91596E245}" name="CÓDIGO CATÁLOGO"/>
    <tableColumn id="2" xr3:uid="{35D9CD27-3FB8-4D08-9C9E-2D49699CC7EF}" name="ARTÍCULO">
      <calculatedColumnFormula>IFERROR(INDEX(UNSPSCDes,MATCH(INDIRECT(ADDRESS(ROW(),COLUMN()-1,4)),UNSPSCCode,0)),IF(INDIRECT(ADDRESS(ROW(),COLUMN()-1,4))="50221001","Granos",""))</calculatedColumnFormula>
    </tableColumn>
    <tableColumn id="3" xr3:uid="{1B72BF49-6CDB-4C5F-93A7-09B913A3CDD5}" name="UNIDAD DE MEDIDA">
      <calculatedColumnFormula>IFERROR(VLOOKUP("UD",'[1]Informacion '!P:Q,2,FALSE),"")</calculatedColumnFormula>
    </tableColumn>
    <tableColumn id="4" xr3:uid="{BFD45EB6-31F1-4525-A017-CDBF5A1E75CC}" name="CANTIDAD TOTAL ESTIMADA" dataDxfId="5" dataCellStyle="ArticleBody"/>
    <tableColumn id="5" xr3:uid="{04EDB96E-5ADC-44AE-B9B8-BBAFE620497B}" name="PRECIO UNITARIO ESTIMADO"/>
    <tableColumn id="6" xr3:uid="{13DE3A8C-0087-4F84-8C21-8AC6D1CB6AD5}"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BF4A9457-C12D-422B-A1A3-A9651DF4E2C8}" name="Table10" displayName="Table10" ref="A277:F308" totalsRowShown="0">
  <tableColumns count="6">
    <tableColumn id="1" xr3:uid="{BB417A6E-9E9A-4F9F-9D81-C446F123FB41}" name="CÓDIGO CATÁLOGO"/>
    <tableColumn id="2" xr3:uid="{5838F739-095E-44CB-83AA-8D94445A44C5}" name="ARTÍCULO"/>
    <tableColumn id="3" xr3:uid="{901845DD-B244-4581-9B0A-AE754651CE44}" name="UNIDAD DE MEDIDA">
      <calculatedColumnFormula>IFERROR(VLOOKUP("UD",'[1]Informacion '!P:Q,2,FALSE),"")</calculatedColumnFormula>
    </tableColumn>
    <tableColumn id="4" xr3:uid="{8AF64D63-4D1D-46E9-88CE-78D255EE6765}" name="CANTIDAD TOTAL ESTIMADA"/>
    <tableColumn id="5" xr3:uid="{4102D93E-0EEC-4748-82E5-6D5B7D25CBA6}" name="PRECIO UNITARIO ESTIMADO"/>
    <tableColumn id="6" xr3:uid="{27F0FFC1-237A-4A43-9CF5-9C90DCCA3D47}"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C5079034-A9B5-43ED-B902-F8C344009D8C}" name="Table54" displayName="Table54" ref="A1435:F1436" totalsRowShown="0">
  <tableColumns count="6">
    <tableColumn id="1" xr3:uid="{170DE573-6DB1-4049-89DF-537337441ED4}" name="CÓDIGO CATÁLOGO"/>
    <tableColumn id="2" xr3:uid="{24AF72E9-58D3-49A4-AC56-FDFCD9F1D32D}" name="ARTÍCULO">
      <calculatedColumnFormula>IFERROR(INDEX(UNSPSCDes,MATCH(INDIRECT(ADDRESS(ROW(),COLUMN()-1,4)),UNSPSCCode,0)),IF(INDIRECT(ADDRESS(ROW(),COLUMN()-1,4))="82121905","Restauración o reparación de encuadernaciones",""))</calculatedColumnFormula>
    </tableColumn>
    <tableColumn id="3" xr3:uid="{EF8E3681-BF3C-49C8-BCC9-77CEEB89026C}" name="UNIDAD DE MEDIDA">
      <calculatedColumnFormula>IFERROR(VLOOKUP("UD",'[1]Informacion '!P:Q,2,FALSE),"")</calculatedColumnFormula>
    </tableColumn>
    <tableColumn id="4" xr3:uid="{1B1A285F-3E41-4F57-8C09-F71F7239ACFD}" name="CANTIDAD TOTAL ESTIMADA"/>
    <tableColumn id="5" xr3:uid="{CCCB666D-9E34-4CF7-95C0-43445F3DEC77}" name="PRECIO UNITARIO ESTIMADO"/>
    <tableColumn id="6" xr3:uid="{D6ACD174-768F-462F-B165-5D1E41CC8A83}"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A124997-336F-46B3-B155-1A093BC1108E}" name="Table4" displayName="Table4" ref="A22:F23" totalsRowShown="0">
  <tableColumns count="6">
    <tableColumn id="1" xr3:uid="{3162F528-D3D2-4085-968D-FBD47D10DB0B}" name="CÓDIGO CATÁLOGO"/>
    <tableColumn id="2" xr3:uid="{390FA5DF-E1C6-4E6D-ACC3-CE610C9C0DB2}" name="ARTÍCULO">
      <calculatedColumnFormula>IFERROR(INDEX(UNSPSCDes,MATCH(INDIRECT(ADDRESS(ROW(),COLUMN()-1,4)),UNSPSCCode,0)),IF(INDIRECT(ADDRESS(ROW(),COLUMN()-1,4))="50151513","Aceites vegetales o  de planta comestibles",""))</calculatedColumnFormula>
    </tableColumn>
    <tableColumn id="3" xr3:uid="{EF21C82F-65A1-457E-8178-8630DDF21105}" name="UNIDAD DE MEDIDA">
      <calculatedColumnFormula>IFERROR(VLOOKUP("UD",'[1]Informacion '!P:Q,2,FALSE),"")</calculatedColumnFormula>
    </tableColumn>
    <tableColumn id="4" xr3:uid="{44F3E5F4-A047-465A-BED3-D6FE5552C21E}" name="CANTIDAD TOTAL ESTIMADA"/>
    <tableColumn id="5" xr3:uid="{5C5D4AA1-D0D5-4CE3-B377-9BF4515C9E8A}" name="PRECIO UNITARIO ESTIMADO"/>
    <tableColumn id="6" xr3:uid="{CF2E9C10-E21F-41F2-A59D-33C74D65A553}"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28196F85-4650-48F6-B2E1-3A3FDEDDF806}" name="Table33" displayName="Table33" ref="A1034:F1042" totalsRowShown="0">
  <tableColumns count="6">
    <tableColumn id="1" xr3:uid="{41BFD345-15FC-4C6A-A1D3-A20041F8F9EE}" name="CÓDIGO CATÁLOGO"/>
    <tableColumn id="2" xr3:uid="{950A4034-8EB8-4991-9364-BD145DE62541}" name="ARTÍCULO">
      <calculatedColumnFormula>IFERROR(INDEX(UNSPSCDes,MATCH(INDIRECT(ADDRESS(ROW(),COLUMN()-1,4)),UNSPSCCode,0)),IF(INDIRECT(ADDRESS(ROW(),COLUMN()-1,4))="50112001","Carnes procesadas y preparadas fresco",""))</calculatedColumnFormula>
    </tableColumn>
    <tableColumn id="3" xr3:uid="{99B207A8-CE4C-4E64-9F80-7A0303570863}" name="UNIDAD DE MEDIDA"/>
    <tableColumn id="4" xr3:uid="{94CDD944-95C0-4BCB-A316-6D3848DF4713}" name="CANTIDAD TOTAL ESTIMADA"/>
    <tableColumn id="5" xr3:uid="{F7D6BFE6-C2B7-455D-9AA1-6E6901D4449A}" name="PRECIO UNITARIO ESTIMADO"/>
    <tableColumn id="6" xr3:uid="{9F1332DB-7101-4607-9942-75958F609EE5}"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226D6F8-A2AA-4306-8DDB-BE36C3D4FB5B}" name="Table29" displayName="Table29" ref="A939:F944" totalsRowShown="0">
  <tableColumns count="6">
    <tableColumn id="1" xr3:uid="{B06432D5-615E-470D-9BC0-44462B5E73B5}" name="CÓDIGO CATÁLOGO"/>
    <tableColumn id="2" xr3:uid="{478E78AF-D8E0-4EB3-84BE-3B9BBD6A591F}" name="ARTÍCULO">
      <calculatedColumnFormula>IFERROR(INDEX(UNSPSCDes,MATCH(INDIRECT(ADDRESS(ROW(),COLUMN()-1,4)),UNSPSCCode,0)),IF(INDIRECT(ADDRESS(ROW(),COLUMN()-1,4))="44103103","Tóner para impresoras o fax",""))</calculatedColumnFormula>
    </tableColumn>
    <tableColumn id="3" xr3:uid="{1FE3EB8A-348B-44EB-A763-439E23291300}" name="UNIDAD DE MEDIDA">
      <calculatedColumnFormula>IFERROR(VLOOKUP("UD",'[1]Informacion '!P:Q,2,FALSE),"")</calculatedColumnFormula>
    </tableColumn>
    <tableColumn id="4" xr3:uid="{00223B1C-E631-4D64-B8BA-1F49A2198524}" name="CANTIDAD TOTAL ESTIMADA"/>
    <tableColumn id="5" xr3:uid="{6DB17B31-7534-4877-8F83-6877550DAD2A}" name="PRECIO UNITARIO ESTIMADO"/>
    <tableColumn id="6" xr3:uid="{D44E2765-14C7-4535-870D-F5114F2DAAEA}"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E61E23E-2800-4697-A90B-91F5249E0E2D}" name="Table26" displayName="Table26" ref="A894:F899" totalsRowShown="0">
  <tableColumns count="6">
    <tableColumn id="1" xr3:uid="{E66077DF-05E5-43F6-9E7D-0275C3380A58}" name="CÓDIGO CATÁLOGO"/>
    <tableColumn id="2" xr3:uid="{06641B00-4CA6-4BDA-AD7E-EBE36C192D4B}" name="ARTÍCULO">
      <calculatedColumnFormula>IFERROR(INDEX(UNSPSCDes,MATCH(INDIRECT(ADDRESS(ROW(),COLUMN()-1,4)),UNSPSCCode,0)),IF(INDIRECT(ADDRESS(ROW(),COLUMN()-1,4))="50221001","Granos",""))</calculatedColumnFormula>
    </tableColumn>
    <tableColumn id="3" xr3:uid="{531CDEE2-2F5B-40CD-B3CC-BE9B8E14AFF5}" name="UNIDAD DE MEDIDA">
      <calculatedColumnFormula>IFERROR(VLOOKUP("UD",'[1]Informacion '!P:Q,2,FALSE),"")</calculatedColumnFormula>
    </tableColumn>
    <tableColumn id="4" xr3:uid="{355D3FCE-A2DB-4BFC-8C78-DFDA40E83BC7}" name="CANTIDAD TOTAL ESTIMADA" dataDxfId="4" dataCellStyle="ArticleBody"/>
    <tableColumn id="5" xr3:uid="{F29C647A-97B2-4124-AE60-CCC5A3BA7D8E}" name="PRECIO UNITARIO ESTIMADO"/>
    <tableColumn id="6" xr3:uid="{31D4C6A4-7B10-46FF-B611-97423B73390C}"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675FFB09-CE8F-4D5B-8FA6-4B3DD8DB41D5}" name="Table13" displayName="Table13" ref="A400:F431" totalsRowShown="0">
  <tableColumns count="6">
    <tableColumn id="1" xr3:uid="{C6CD1FE1-2C2C-4DCC-A750-FC112D8535EF}" name="CÓDIGO CATÁLOGO"/>
    <tableColumn id="2" xr3:uid="{DF0AA3AD-F04A-4CF3-B6CD-71DDC99F1AD5}" name="ARTÍCULO"/>
    <tableColumn id="3" xr3:uid="{8DA93F38-F874-4DB2-8748-5C6FCE678CAB}" name="UNIDAD DE MEDIDA"/>
    <tableColumn id="4" xr3:uid="{E91C8E41-266C-4A56-B8AD-9F6EFF0BB72D}" name="CANTIDAD TOTAL ESTIMADA"/>
    <tableColumn id="5" xr3:uid="{2309607D-8521-4159-9F9C-7A1F0F071221}" name="PRECIO UNITARIO ESTIMADO"/>
    <tableColumn id="6" xr3:uid="{BFF94274-9B8D-4026-A52F-B3C94FFC2C54}"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578E0F24-DE61-4828-BC12-935C49A10FBF}" name="Table58" displayName="Table58" ref="A1480:F1492" totalsRowShown="0">
  <tableColumns count="6">
    <tableColumn id="1" xr3:uid="{98DFBFF7-E5F7-4052-8B47-C4C12D46DAF7}" name="CÓDIGO CATÁLOGO"/>
    <tableColumn id="2" xr3:uid="{6873C9DC-FC0C-4184-942B-A21BD69D5F4B}" name="ARTÍCULO"/>
    <tableColumn id="3" xr3:uid="{75D77B4C-123C-4380-99FD-AB0DE1453B86}" name="UNIDAD DE MEDIDA">
      <calculatedColumnFormula>IFERROR(VLOOKUP("UD",'[1]Informacion '!P:Q,2,FALSE),"")</calculatedColumnFormula>
    </tableColumn>
    <tableColumn id="4" xr3:uid="{0A9A94B2-6F01-474F-972F-D1DE1EE886A0}" name="CANTIDAD TOTAL ESTIMADA"/>
    <tableColumn id="5" xr3:uid="{5CC8ECC9-E2B0-4CAA-99FA-E90EAE9DF802}" name="PRECIO UNITARIO ESTIMADO"/>
    <tableColumn id="6" xr3:uid="{E63DC1B0-96E6-4BC1-B628-D1BB67C9DFCE}"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E8B7164-5F8F-4B59-B202-3F90EF8221C6}" name="Table19" displayName="Table19" ref="A711:F755" totalsRowShown="0">
  <tableColumns count="6">
    <tableColumn id="1" xr3:uid="{9A4C7C03-F441-4D33-8D6C-71FC63D7F905}" name="CÓDIGO CATÁLOGO"/>
    <tableColumn id="2" xr3:uid="{8CF47D83-4760-4CF5-951C-48A3C3F8A51B}" name="ARTÍCULO"/>
    <tableColumn id="3" xr3:uid="{C5D784C0-E3F1-484B-A052-E1DC8C78CDBE}" name="UNIDAD DE MEDIDA"/>
    <tableColumn id="4" xr3:uid="{DEE71800-2034-4199-979F-E85AD725CD88}" name="CANTIDAD TOTAL ESTIMADA"/>
    <tableColumn id="5" xr3:uid="{E2C23D34-3449-41DC-97D7-A4812F81933E}" name="PRECIO UNITARIO ESTIMADO"/>
    <tableColumn id="6" xr3:uid="{9DFE3A9B-F7CA-476A-A2DE-00DB2351E47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93F2B0E-86CC-4D37-9633-4D300004A0A9}" name="Table38" displayName="Table38" ref="A1124:F1154" totalsRowShown="0">
  <tableColumns count="6">
    <tableColumn id="1" xr3:uid="{2C30F714-D801-4FAF-973D-D21DAA8A4D21}" name="CÓDIGO CATÁLOGO"/>
    <tableColumn id="2" xr3:uid="{AB4A4ED9-1E29-4CCB-B8AC-78BCD76FF427}" name="ARTÍCULO"/>
    <tableColumn id="3" xr3:uid="{D329AFCB-EB36-4588-A530-789F08585976}" name="UNIDAD DE MEDIDA"/>
    <tableColumn id="4" xr3:uid="{78A893F1-F7ED-4CD2-9E96-E78BB12C3AE5}" name="CANTIDAD TOTAL ESTIMADA"/>
    <tableColumn id="5" xr3:uid="{0EEEA74A-EB62-47DE-9EFA-BBC0AB06DAFE}" name="PRECIO UNITARIO ESTIMADO"/>
    <tableColumn id="6" xr3:uid="{DE773F1C-7258-473E-8C0F-8866AF497572}"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758E81F-CE17-4AEB-B259-B0C836046635}" name="Table37" displayName="Table37" ref="A1106:F1114" totalsRowShown="0">
  <tableColumns count="6">
    <tableColumn id="1" xr3:uid="{718E04ED-0C16-4225-B1E8-5D2E4E308297}" name="CÓDIGO CATÁLOGO"/>
    <tableColumn id="2" xr3:uid="{80623431-92D5-41DD-818C-0C43EA2A5898}" name="ARTÍCULO"/>
    <tableColumn id="3" xr3:uid="{F34A70D1-7EA0-4A75-80C8-D416B23F0860}" name="UNIDAD DE MEDIDA"/>
    <tableColumn id="4" xr3:uid="{8B915DC9-50A8-4A01-9982-8E70D2A35325}" name="CANTIDAD TOTAL ESTIMADA"/>
    <tableColumn id="5" xr3:uid="{CE01F399-B92F-43C5-AAF6-1E1D0A50FF45}" name="PRECIO UNITARIO ESTIMADO"/>
    <tableColumn id="6" xr3:uid="{E1035BD2-538A-4CB0-BE71-3FFF58EECE15}"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BE0AAF1-6C1D-4EE0-9A72-4671F05C56A6}" name="Table30" displayName="Table30" ref="A954:F988" totalsRowShown="0">
  <tableColumns count="6">
    <tableColumn id="1" xr3:uid="{4937A6E2-531B-4929-B250-2EBFA187A377}" name="CÓDIGO CATÁLOGO"/>
    <tableColumn id="2" xr3:uid="{07EFCE1B-3ECA-4798-A68E-7984C21E9129}" name="ARTÍCULO"/>
    <tableColumn id="3" xr3:uid="{CF29FDE3-01E2-42EE-8E89-EC79C594B3A4}" name="UNIDAD DE MEDIDA"/>
    <tableColumn id="4" xr3:uid="{4750C813-CF05-45AB-8D33-09C25822D97D}" name="CANTIDAD TOTAL ESTIMADA"/>
    <tableColumn id="5" xr3:uid="{AA1EBC23-1241-46EC-B2EC-60145CE26CC5}" name="PRECIO UNITARIO ESTIMADO"/>
    <tableColumn id="6" xr3:uid="{15AE9D72-5F9C-4E2F-A5D8-F711CB4DA561}"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AAB84626-545F-40C5-A41E-E1CE4F830DBD}" name="Table39" displayName="Table39" ref="A1164:F1194" totalsRowShown="0">
  <tableColumns count="6">
    <tableColumn id="1" xr3:uid="{892C4FB8-B3CD-4B2F-AEDC-A61818D8F4B0}" name="CÓDIGO CATÁLOGO"/>
    <tableColumn id="2" xr3:uid="{87B8CF19-36C5-4FE2-8471-BCC0BA23077E}" name="ARTÍCULO"/>
    <tableColumn id="3" xr3:uid="{D1CD22F6-7169-4713-8C97-262DA3B31138}" name="UNIDAD DE MEDIDA"/>
    <tableColumn id="4" xr3:uid="{4F2CA6A2-5BD3-4AFF-8FFA-C0F4F20E9519}" name="CANTIDAD TOTAL ESTIMADA"/>
    <tableColumn id="5" xr3:uid="{3EC061D6-7E8F-4F3C-9EE1-78F6A9D47E5B}" name="PRECIO UNITARIO ESTIMADO"/>
    <tableColumn id="6" xr3:uid="{3DAAD08C-1B17-4A66-9CCE-ED9BB56523AC}"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D06C154-A0CE-49FB-B346-026DC3EB6644}" name="Table48" displayName="Table48" ref="A1358:F1359" totalsRowShown="0">
  <tableColumns count="6">
    <tableColumn id="1" xr3:uid="{4676B025-4467-4CB7-A32E-E29A26890B10}" name="CÓDIGO CATÁLOGO"/>
    <tableColumn id="2" xr3:uid="{E9132B6C-1864-405A-AE4F-22CCD3BFF6B1}" name="ARTÍCULO">
      <calculatedColumnFormula>IFERROR(INDEX(UNSPSCDes,MATCH(INDIRECT(ADDRESS(ROW(),COLUMN()-1,4)),UNSPSCCode,0)),IF(INDIRECT(ADDRESS(ROW(),COLUMN()-1,4))="51191702","Lactato de sodio",""))</calculatedColumnFormula>
    </tableColumn>
    <tableColumn id="3" xr3:uid="{AAC0E909-0D9C-435C-A7A0-57EBC48EB04D}" name="UNIDAD DE MEDIDA">
      <calculatedColumnFormula>IFERROR(VLOOKUP("UD",'[1]Informacion '!P:Q,2,FALSE),"")</calculatedColumnFormula>
    </tableColumn>
    <tableColumn id="4" xr3:uid="{A7DB4BD0-9660-4FAE-B066-FA3651F91C03}" name="CANTIDAD TOTAL ESTIMADA"/>
    <tableColumn id="5" xr3:uid="{786A33EA-1974-4987-BCD3-594813AF370A}" name="PRECIO UNITARIO ESTIMADO"/>
    <tableColumn id="6" xr3:uid="{20938B8B-10B9-488D-B616-C3D7629D834C}"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0842499-6B5B-4B8D-8347-CB6E5CD20EA5}" name="Table18" displayName="Table18" ref="A657:F701" totalsRowShown="0">
  <tableColumns count="6">
    <tableColumn id="1" xr3:uid="{54B4BCB3-50B5-4F02-BF15-FBF6CFC1EB42}" name="CÓDIGO CATÁLOGO"/>
    <tableColumn id="2" xr3:uid="{00BDA7B4-E7DE-4092-A8B7-04CF869665A3}" name="ARTÍCULO"/>
    <tableColumn id="3" xr3:uid="{602CBB09-592D-4AD9-8CC4-0FCB29E51AE4}" name="UNIDAD DE MEDIDA"/>
    <tableColumn id="4" xr3:uid="{65258349-8610-4D5D-8CBA-AC5EBBC1B4BE}" name="CANTIDAD TOTAL ESTIMADA"/>
    <tableColumn id="5" xr3:uid="{F0F89120-270A-4347-B80D-CCB9239FAC84}" name="PRECIO UNITARIO ESTIMADO"/>
    <tableColumn id="6" xr3:uid="{F9B86F39-1013-4313-B5ED-3803AD248E65}"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8AC3DFE-63BC-45B8-BB1A-C1BD43A2723B}" name="Table25" displayName="Table25" ref="A879:F884" totalsRowShown="0">
  <tableColumns count="6">
    <tableColumn id="1" xr3:uid="{DECC275A-B751-42C7-8B2C-3313FAB37739}" name="CÓDIGO CATÁLOGO"/>
    <tableColumn id="2" xr3:uid="{8F6CB002-A96F-4881-9DFD-C7B9FB250083}" name="ARTÍCULO">
      <calculatedColumnFormula>IFERROR(INDEX(UNSPSCDes,MATCH(INDIRECT(ADDRESS(ROW(),COLUMN()-1,4)),UNSPSCCode,0)),IF(INDIRECT(ADDRESS(ROW(),COLUMN()-1,4))="50221001","Granos",""))</calculatedColumnFormula>
    </tableColumn>
    <tableColumn id="3" xr3:uid="{57B9120E-B3C2-48C0-8D18-87C093BF5073}" name="UNIDAD DE MEDIDA">
      <calculatedColumnFormula>IFERROR(VLOOKUP("UD",'[1]Informacion '!P:Q,2,FALSE),"")</calculatedColumnFormula>
    </tableColumn>
    <tableColumn id="4" xr3:uid="{D6EF77C1-B59F-48BC-B070-DF8289478ABC}" name="CANTIDAD TOTAL ESTIMADA" dataDxfId="3" dataCellStyle="ArticleBody"/>
    <tableColumn id="5" xr3:uid="{FE731866-D835-447C-9A58-A8ED2E880979}" name="PRECIO UNITARIO ESTIMADO"/>
    <tableColumn id="6" xr3:uid="{9EEE9316-28D7-40A0-B48C-624393FAF0C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1B6B9AAD-D663-4E1C-A48F-65A4472726B7}" name="Table47" displayName="Table47" ref="A1347:F1348" totalsRowShown="0">
  <tableColumns count="6">
    <tableColumn id="1" xr3:uid="{AB691BD3-D617-42EB-8CFE-D31C9F0C2A06}" name="CÓDIGO CATÁLOGO"/>
    <tableColumn id="2" xr3:uid="{CF75EE68-C91B-4682-BD85-E41519D19EC9}" name="ARTÍCULO">
      <calculatedColumnFormula>IFERROR(INDEX(UNSPSCDes,MATCH(INDIRECT(ADDRESS(ROW(),COLUMN()-1,4)),UNSPSCCode,0)),IF(INDIRECT(ADDRESS(ROW(),COLUMN()-1,4))="51191702","Lactato de sodio",""))</calculatedColumnFormula>
    </tableColumn>
    <tableColumn id="3" xr3:uid="{3A1A631A-7382-47F3-9331-855B043ADEF8}" name="UNIDAD DE MEDIDA">
      <calculatedColumnFormula>IFERROR(VLOOKUP("UD",'[1]Informacion '!P:Q,2,FALSE),"")</calculatedColumnFormula>
    </tableColumn>
    <tableColumn id="4" xr3:uid="{776B9B35-D3D7-4BFD-8EC2-26C89DF98630}" name="CANTIDAD TOTAL ESTIMADA"/>
    <tableColumn id="5" xr3:uid="{4C3518BE-6BB3-4422-BDFC-BB15DE009AF8}" name="PRECIO UNITARIO ESTIMADO"/>
    <tableColumn id="6" xr3:uid="{AD21AA40-8B40-44EC-A019-D4267F9D5942}"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A5F922A0-B81F-413B-BA59-710B81D33208}" name="Table5" displayName="Table5" ref="A33:F100" totalsRowShown="0">
  <tableColumns count="6">
    <tableColumn id="1" xr3:uid="{7F42EE4C-E170-4C1D-A92C-ACC7F2E4D612}" name="CÓDIGO CATÁLOGO"/>
    <tableColumn id="2" xr3:uid="{2FAF764F-8AC5-407D-B204-8BF767E1458F}" name="ARTÍCULO"/>
    <tableColumn id="3" xr3:uid="{37031E9C-1ECA-4023-8C58-EA1321F26412}" name="UNIDAD DE MEDIDA"/>
    <tableColumn id="4" xr3:uid="{7F5B6A81-4AD4-4EA3-9C8D-5A9FDEAE2A8D}" name="CANTIDAD TOTAL ESTIMADA"/>
    <tableColumn id="5" xr3:uid="{12068B78-D7B6-4E93-BEA1-C80C03C21E53}" name="PRECIO UNITARIO ESTIMADO"/>
    <tableColumn id="6" xr3:uid="{4E4421B8-1BF9-4A43-9B8F-5BFAC87340EA}"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0E1B111-1A52-47CE-ACFC-273D0BAAA4C5}" name="Table34" displayName="Table34" ref="A1052:F1060" totalsRowShown="0">
  <tableColumns count="6">
    <tableColumn id="1" xr3:uid="{688E60DA-858D-45CC-BAA1-04B70C89F355}" name="CÓDIGO CATÁLOGO"/>
    <tableColumn id="2" xr3:uid="{049C3CE2-4938-4D1A-8FF1-0922C881D40F}" name="ARTÍCULO">
      <calculatedColumnFormula>IFERROR(INDEX(UNSPSCDes,MATCH(INDIRECT(ADDRESS(ROW(),COLUMN()-1,4)),UNSPSCCode,0)),IF(INDIRECT(ADDRESS(ROW(),COLUMN()-1,4))="50112001","Carnes procesadas y preparadas fresco",""))</calculatedColumnFormula>
    </tableColumn>
    <tableColumn id="3" xr3:uid="{FC8409CA-FD81-4B58-90EB-B805148B2D8F}" name="UNIDAD DE MEDIDA"/>
    <tableColumn id="4" xr3:uid="{580E7791-8820-4E45-BD61-3970C3B4F19E}" name="CANTIDAD TOTAL ESTIMADA"/>
    <tableColumn id="5" xr3:uid="{05421398-8D86-4297-B7D6-0F434D0F9923}" name="PRECIO UNITARIO ESTIMADO"/>
    <tableColumn id="6" xr3:uid="{C1F97EF7-B864-4C98-A88C-075929F879B8}"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D3CAD870-06A5-47C6-B74F-F3F015BBA3DD}" name="Table14" displayName="Table14" ref="A441:F485" totalsRowShown="0">
  <tableColumns count="6">
    <tableColumn id="1" xr3:uid="{3140AB9C-BFCF-403D-A94F-5B89BD948A57}" name="CÓDIGO CATÁLOGO"/>
    <tableColumn id="2" xr3:uid="{B79BDCC2-31DD-4EF2-B14A-0D79D74BD258}" name="ARTÍCULO"/>
    <tableColumn id="3" xr3:uid="{C6167C50-4B60-4955-9F4B-DC64F8468E2C}" name="UNIDAD DE MEDIDA"/>
    <tableColumn id="4" xr3:uid="{D6348FC4-46E5-45EA-875F-5BB8D4105265}" name="CANTIDAD TOTAL ESTIMADA"/>
    <tableColumn id="5" xr3:uid="{687271CF-EAA8-4CAD-97F1-4083CFA8654E}" name="PRECIO UNITARIO ESTIMADO"/>
    <tableColumn id="6" xr3:uid="{61FF313D-D822-40F4-B4DD-AB93411B3AFD}"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D3EAF47-411D-411B-B4EC-CDF494214874}" name="Table46" displayName="Table46" ref="A1336:F1337" totalsRowShown="0">
  <tableColumns count="6">
    <tableColumn id="1" xr3:uid="{435FDBF5-C5BA-4F02-AB6F-D348A7C3EE69}" name="CÓDIGO CATÁLOGO"/>
    <tableColumn id="2" xr3:uid="{E203F99C-5E32-4037-8425-B1A81B1CB88A}" name="ARTÍCULO">
      <calculatedColumnFormula>IFERROR(INDEX(UNSPSCDes,MATCH(INDIRECT(ADDRESS(ROW(),COLUMN()-1,4)),UNSPSCCode,0)),IF(INDIRECT(ADDRESS(ROW(),COLUMN()-1,4))="44101501","Fotocopiadoras",""))</calculatedColumnFormula>
    </tableColumn>
    <tableColumn id="3" xr3:uid="{5DDDC923-990E-4BBF-83BF-11930F0C8205}" name="UNIDAD DE MEDIDA">
      <calculatedColumnFormula>IFERROR(VLOOKUP("UD",'[1]Informacion '!P:Q,2,FALSE),"")</calculatedColumnFormula>
    </tableColumn>
    <tableColumn id="4" xr3:uid="{A268F04B-5E93-479F-8118-7200F1061468}" name="CANTIDAD TOTAL ESTIMADA"/>
    <tableColumn id="5" xr3:uid="{2C4F1CC7-3F7F-4A79-B2DE-C0F202BAE459}" name="PRECIO UNITARIO ESTIMADO"/>
    <tableColumn id="6" xr3:uid="{370F06B6-7967-4DB1-A325-2E89CA8D2C8A}"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F22F5F4-6772-45BF-A7AB-5698187B11B6}" name="Table28" displayName="Table28" ref="A924:F929" totalsRowShown="0">
  <tableColumns count="6">
    <tableColumn id="1" xr3:uid="{527007D7-57A9-4D5C-A574-5BC4342E6FFC}" name="CÓDIGO CATÁLOGO"/>
    <tableColumn id="2" xr3:uid="{00A8AA4E-2681-492B-BA0B-F18B397FF5FE}" name="ARTÍCULO">
      <calculatedColumnFormula>IFERROR(INDEX(UNSPSCDes,MATCH(INDIRECT(ADDRESS(ROW(),COLUMN()-1,4)),UNSPSCCode,0)),IF(INDIRECT(ADDRESS(ROW(),COLUMN()-1,4))="44103103","Tóner para impresoras o fax",""))</calculatedColumnFormula>
    </tableColumn>
    <tableColumn id="3" xr3:uid="{748C0589-8F27-4E06-BC6D-302C9FB1C04C}" name="UNIDAD DE MEDIDA">
      <calculatedColumnFormula>IFERROR(VLOOKUP("UD",'[1]Informacion '!P:Q,2,FALSE),"")</calculatedColumnFormula>
    </tableColumn>
    <tableColumn id="4" xr3:uid="{6A222525-CA21-4ED2-9A09-21BE0FE3C1AB}" name="CANTIDAD TOTAL ESTIMADA"/>
    <tableColumn id="5" xr3:uid="{984459BB-54D8-496F-9469-D3F13C02F99F}" name="PRECIO UNITARIO ESTIMADO"/>
    <tableColumn id="6" xr3:uid="{9EC9AD2B-D128-4E9D-B674-13E8A24B3652}"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6109F1B-3B87-40B4-8CF6-394E811DDB26}" name="Table6" displayName="Table6" ref="A110:F144" totalsRowShown="0">
  <tableColumns count="6">
    <tableColumn id="1" xr3:uid="{59E4ECC2-12FA-481E-A83A-6D841D7DE987}" name="CÓDIGO CATÁLOGO"/>
    <tableColumn id="2" xr3:uid="{E4A6923A-6685-45D4-BBF2-92064C02ECF2}" name="ARTÍCULO"/>
    <tableColumn id="3" xr3:uid="{ABBBBA2B-D99C-493E-B8AE-FFFB546D2FD8}" name="UNIDAD DE MEDIDA"/>
    <tableColumn id="4" xr3:uid="{2C99C9C2-D155-4BE5-83C1-652B7596DF52}" name="CANTIDAD TOTAL ESTIMADA"/>
    <tableColumn id="5" xr3:uid="{8835CE96-6854-49F2-BF28-0A042D612BD8}" name="PRECIO UNITARIO ESTIMADO"/>
    <tableColumn id="6" xr3:uid="{CFE57392-57EC-4135-85B6-649CFF6C1C29}"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F2E32B8A-D0A5-4FF5-A75F-BFF2436BE026}" name="Table12" displayName="Table12" ref="A359:F390" totalsRowShown="0">
  <tableColumns count="6">
    <tableColumn id="1" xr3:uid="{281758F7-2F39-4E91-93BA-356916924C67}" name="CÓDIGO CATÁLOGO"/>
    <tableColumn id="2" xr3:uid="{66A3B493-DC31-4C49-8B8E-B643F9D2C6B1}" name="ARTÍCULO"/>
    <tableColumn id="3" xr3:uid="{C162AAE3-358D-4520-88F6-8A4C9D316508}" name="UNIDAD DE MEDIDA"/>
    <tableColumn id="4" xr3:uid="{5C2F3BAC-2014-44C0-AE1F-F45A7B643ED1}" name="CANTIDAD TOTAL ESTIMADA"/>
    <tableColumn id="5" xr3:uid="{558B2CD4-67BA-40A3-93C4-D0A2CE6FC781}" name="PRECIO UNITARIO ESTIMADO"/>
    <tableColumn id="6" xr3:uid="{8A3E2DDB-7928-497A-8DFA-74D20383E13D}"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4F3BC6D-F896-4CAA-AAC3-6D7FFF5B0507}" name="Table42" displayName="Table42" ref="A1272:F1280" totalsRowShown="0">
  <tableColumns count="6">
    <tableColumn id="1" xr3:uid="{7CF71623-2756-4D38-BED5-061A6D4FF813}" name="CÓDIGO CATÁLOGO"/>
    <tableColumn id="2" xr3:uid="{93A6E1DB-C2ED-41AA-9816-6F16A726CD23}" name="ARTÍCULO">
      <calculatedColumnFormula>IFERROR(INDEX(UNSPSCDes,MATCH(INDIRECT(ADDRESS(ROW(),COLUMN()-1,4)),UNSPSCCode,0)),IF(INDIRECT(ADDRESS(ROW(),COLUMN()-1,4))="47121701","Bolsas de basura",""))</calculatedColumnFormula>
    </tableColumn>
    <tableColumn id="3" xr3:uid="{D7B8FE96-7E06-4C23-A2B0-4190FA812CFC}" name="UNIDAD DE MEDIDA">
      <calculatedColumnFormula>IFERROR(VLOOKUP("UD",'[1]Informacion '!P:Q,2,FALSE),"")</calculatedColumnFormula>
    </tableColumn>
    <tableColumn id="4" xr3:uid="{CA65F1C1-E756-4E89-87C9-03DBBE4F32B1}" name="CANTIDAD TOTAL ESTIMADA"/>
    <tableColumn id="5" xr3:uid="{3C75A907-82C7-4C0D-88B0-4A4F494C1086}" name="PRECIO UNITARIO ESTIMADO"/>
    <tableColumn id="6" xr3:uid="{720C6708-921B-4A4E-8F30-406569357F5B}"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54F758E-6577-4BEA-B696-9884CDB816BE}" name="Table52" displayName="Table52" ref="A1413:F1414" totalsRowShown="0">
  <tableColumns count="6">
    <tableColumn id="1" xr3:uid="{1BCADC9B-E213-44D2-A51F-05B2F8468718}" name="CÓDIGO CATÁLOGO"/>
    <tableColumn id="2" xr3:uid="{5195160D-1ADD-48B3-A3CC-2DF1E6286EF7}" name="ARTÍCULO">
      <calculatedColumnFormula>IFERROR(INDEX(UNSPSCDes,MATCH(INDIRECT(ADDRESS(ROW(),COLUMN()-1,4)),UNSPSCCode,0)),IF(INDIRECT(ADDRESS(ROW(),COLUMN()-1,4))="81101701","Servicios de ingeniería eléctrica",""))</calculatedColumnFormula>
    </tableColumn>
    <tableColumn id="3" xr3:uid="{D8BB5BC5-C19F-4A45-A17A-CDA3DFA16896}" name="UNIDAD DE MEDIDA">
      <calculatedColumnFormula>IFERROR(VLOOKUP("UD",'[1]Informacion '!P:Q,2,FALSE),"")</calculatedColumnFormula>
    </tableColumn>
    <tableColumn id="4" xr3:uid="{F0C6FB6F-4BE0-438E-9725-8671CB64C399}" name="CANTIDAD TOTAL ESTIMADA"/>
    <tableColumn id="5" xr3:uid="{67BD9A0C-058A-4A39-8E50-402D5C8AC889}" name="PRECIO UNITARIO ESTIMADO"/>
    <tableColumn id="6" xr3:uid="{DF46CB31-517B-4E91-985A-4FE0E6062B04}"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67291D53-E0E5-4A4F-B54B-575A88958390}" name="Table40" displayName="Table40" ref="A1204:F1234" totalsRowShown="0">
  <tableColumns count="6">
    <tableColumn id="1" xr3:uid="{04E4B6BC-3A81-4530-8636-07F755708B2D}" name="CÓDIGO CATÁLOGO"/>
    <tableColumn id="2" xr3:uid="{377F7D1E-4C2C-4A20-9016-AE91CC5DD7D7}" name="ARTÍCULO"/>
    <tableColumn id="3" xr3:uid="{CC34125C-374A-4ED9-9D7E-F50FED1C39E2}" name="UNIDAD DE MEDIDA"/>
    <tableColumn id="4" xr3:uid="{CD6C51F1-C3CF-41DA-A423-B4CD1788A26B}" name="CANTIDAD TOTAL ESTIMADA"/>
    <tableColumn id="5" xr3:uid="{A91F3F60-E13E-4952-A0BE-B3B26A950FA2}" name="PRECIO UNITARIO ESTIMADO"/>
    <tableColumn id="6" xr3:uid="{5E20B1AF-ADFB-40FF-87B6-3929243FD254}"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68A0A84-DD23-482E-8D03-D5E2DC0CD194}" name="Table27" displayName="Table27" ref="A909:F914" totalsRowShown="0">
  <tableColumns count="6">
    <tableColumn id="1" xr3:uid="{8CB7CC60-C25F-46B5-8482-5C184EE42393}" name="CÓDIGO CATÁLOGO"/>
    <tableColumn id="2" xr3:uid="{564A9351-44CE-4AEB-AE7B-7992CF6E6500}" name="ARTÍCULO">
      <calculatedColumnFormula>IFERROR(INDEX(UNSPSCDes,MATCH(INDIRECT(ADDRESS(ROW(),COLUMN()-1,4)),UNSPSCCode,0)),IF(INDIRECT(ADDRESS(ROW(),COLUMN()-1,4))="50221001","Granos",""))</calculatedColumnFormula>
    </tableColumn>
    <tableColumn id="3" xr3:uid="{BA923C1E-D3C0-49C6-9A46-ED9BEA552563}" name="UNIDAD DE MEDIDA">
      <calculatedColumnFormula>IFERROR(VLOOKUP("UD",'[1]Informacion '!P:Q,2,FALSE),"")</calculatedColumnFormula>
    </tableColumn>
    <tableColumn id="4" xr3:uid="{9A5EC9D3-BDBA-478D-9C53-14C395B19CB4}" name="CANTIDAD TOTAL ESTIMADA"/>
    <tableColumn id="5" xr3:uid="{48B5D1DD-0E6A-4D23-9AC0-2C6B8C77276E}" name="PRECIO UNITARIO ESTIMADO"/>
    <tableColumn id="6" xr3:uid="{EDE9C4C2-A819-4EB1-ACF7-BE12DB69E807}"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89039720-4FDB-4D51-9D07-5C735F3CAE0A}" name="Table22" displayName="Table22" ref="A834:F839" totalsRowShown="0">
  <tableColumns count="6">
    <tableColumn id="1" xr3:uid="{EA71B16F-1BA0-4CBD-97A3-6C7AA1D8164E}" name="CÓDIGO CATÁLOGO"/>
    <tableColumn id="2" xr3:uid="{1505C8C6-675E-4A6F-92BF-1EAA3D068607}" name="ARTÍCULO">
      <calculatedColumnFormula>IFERROR(INDEX(UNSPSCDes,MATCH(INDIRECT(ADDRESS(ROW(),COLUMN()-1,4)),UNSPSCCode,0)),IF(INDIRECT(ADDRESS(ROW(),COLUMN()-1,4))="50221001","Granos",""))</calculatedColumnFormula>
    </tableColumn>
    <tableColumn id="3" xr3:uid="{58AF8794-1618-4A89-BABF-685DC7CCA9CF}" name="UNIDAD DE MEDIDA">
      <calculatedColumnFormula>IFERROR(VLOOKUP("UD",'[1]Informacion '!P:Q,2,FALSE),"")</calculatedColumnFormula>
    </tableColumn>
    <tableColumn id="4" xr3:uid="{7230B04D-30B2-44C0-8B04-249A948D1DFB}" name="CANTIDAD TOTAL ESTIMADA" dataDxfId="2" dataCellStyle="ArticleBody"/>
    <tableColumn id="5" xr3:uid="{2416AF99-3672-4DF0-A241-C3256E883C5F}" name="PRECIO UNITARIO ESTIMADO"/>
    <tableColumn id="6" xr3:uid="{68A42A5D-E8ED-4D97-9236-C57E8D5C553D}"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BBBF2BA-48BD-44DD-BE44-DCD435B34E5A}" name="Table24" displayName="Table24" ref="A864:F869" totalsRowShown="0">
  <tableColumns count="6">
    <tableColumn id="1" xr3:uid="{242B6C14-5B4F-425B-B545-143B8DF808D4}" name="CÓDIGO CATÁLOGO"/>
    <tableColumn id="2" xr3:uid="{F9F773E7-F4AB-4191-948F-33F3CEBE04E4}" name="ARTÍCULO">
      <calculatedColumnFormula>IFERROR(INDEX(UNSPSCDes,MATCH(INDIRECT(ADDRESS(ROW(),COLUMN()-1,4)),UNSPSCCode,0)),IF(INDIRECT(ADDRESS(ROW(),COLUMN()-1,4))="50221001","Granos",""))</calculatedColumnFormula>
    </tableColumn>
    <tableColumn id="3" xr3:uid="{AEA008A7-FDC1-4F84-9BC2-DE1443C97C7A}" name="UNIDAD DE MEDIDA">
      <calculatedColumnFormula>IFERROR(VLOOKUP("UD",'[1]Informacion '!P:Q,2,FALSE),"")</calculatedColumnFormula>
    </tableColumn>
    <tableColumn id="4" xr3:uid="{76D80436-D150-4A25-972E-BE35668C66FE}" name="CANTIDAD TOTAL ESTIMADA" dataDxfId="1" dataCellStyle="ArticleBody"/>
    <tableColumn id="5" xr3:uid="{65A212E4-9F69-4092-AA8C-49F6F01D1760}" name="PRECIO UNITARIO ESTIMADO"/>
    <tableColumn id="6" xr3:uid="{28A10C5E-6A94-41F2-8FCD-B731D819DE32}"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11C1870-B93C-4ADE-BB74-89A4AC035D2B}" name="Table53" displayName="Table53" ref="A1424:F1425" totalsRowShown="0">
  <tableColumns count="6">
    <tableColumn id="1" xr3:uid="{C0D532D2-B020-4523-80FE-0B4EAF803E36}" name="CÓDIGO CATÁLOGO"/>
    <tableColumn id="2" xr3:uid="{BB2F7E3E-A93F-44D7-9F46-2A6EFD87DF08}" name="ARTÍCULO">
      <calculatedColumnFormula>IFERROR(INDEX(UNSPSCDes,MATCH(INDIRECT(ADDRESS(ROW(),COLUMN()-1,4)),UNSPSCCode,0)),IF(INDIRECT(ADDRESS(ROW(),COLUMN()-1,4))="82121905","Restauración o reparación de encuadernaciones",""))</calculatedColumnFormula>
    </tableColumn>
    <tableColumn id="3" xr3:uid="{1181D46A-541C-447D-B148-91941E127899}" name="UNIDAD DE MEDIDA">
      <calculatedColumnFormula>IFERROR(VLOOKUP("UD",'[1]Informacion '!P:Q,2,FALSE),"")</calculatedColumnFormula>
    </tableColumn>
    <tableColumn id="4" xr3:uid="{836E4D17-97F3-4F79-AFF8-B90009CD8519}" name="CANTIDAD TOTAL ESTIMADA"/>
    <tableColumn id="5" xr3:uid="{2A06923A-734C-45A5-91EC-8C18534AB6FB}" name="PRECIO UNITARIO ESTIMADO"/>
    <tableColumn id="6" xr3:uid="{186A44B5-F2CE-4E19-96C7-9913C6BAFC7B}"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8E4825C-C967-4CA7-B698-F0CF8440A31B}" name="Table9" displayName="Table9" ref="A236:F267" totalsRowShown="0">
  <tableColumns count="6">
    <tableColumn id="1" xr3:uid="{CEB40426-9C64-4D67-B138-588CCCD7A7F7}" name="CÓDIGO CATÁLOGO"/>
    <tableColumn id="2" xr3:uid="{4F079F38-9951-4EED-9560-9E7710279FC0}" name="ARTÍCULO"/>
    <tableColumn id="3" xr3:uid="{8DD31B01-2322-4212-932A-8722225A79A6}" name="UNIDAD DE MEDIDA"/>
    <tableColumn id="4" xr3:uid="{F3788782-8E36-45B7-94FE-6B5E1FF80FB7}" name="CANTIDAD TOTAL ESTIMADA"/>
    <tableColumn id="5" xr3:uid="{7779AB62-6895-4A4F-A202-72BCEDD3DACA}" name="PRECIO UNITARIO ESTIMADO"/>
    <tableColumn id="6" xr3:uid="{92EED94D-E081-43F3-B15F-2760FF4025F2}"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B3958B04-8B76-4CC1-BC7B-1E150DA9837D}" name="Table16" displayName="Table16" ref="A549:F593" totalsRowShown="0">
  <tableColumns count="6">
    <tableColumn id="1" xr3:uid="{5DBBBED2-CDDB-4E90-8575-26FABDEC28A0}" name="CÓDIGO CATÁLOGO"/>
    <tableColumn id="2" xr3:uid="{051545ED-1D84-4A5D-9EE3-486A8D0CDE5F}" name="ARTÍCULO"/>
    <tableColumn id="3" xr3:uid="{B29ED32D-3B2A-4BEA-8FB5-52DEBDF8E87B}" name="UNIDAD DE MEDIDA"/>
    <tableColumn id="4" xr3:uid="{4DC963C2-8CDC-4169-9E7B-C3D929CFFD33}" name="CANTIDAD TOTAL ESTIMADA"/>
    <tableColumn id="5" xr3:uid="{C759B92B-B1DB-4513-9558-7F90574EBAE2}" name="PRECIO UNITARIO ESTIMADO"/>
    <tableColumn id="6" xr3:uid="{4181E29B-8EEF-4EE9-A204-45784641D2DD}"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E2EEC3AE-6B4A-4108-BE4C-89A8FB4D4C1D}" name="Table11" displayName="Table11" ref="A318:F349" totalsRowShown="0">
  <tableColumns count="6">
    <tableColumn id="1" xr3:uid="{C5359D49-24EF-4BA5-85C3-C36D0865C87A}" name="CÓDIGO CATÁLOGO"/>
    <tableColumn id="2" xr3:uid="{1E78F351-E554-4809-BE2C-55948549A328}" name="ARTÍCULO"/>
    <tableColumn id="3" xr3:uid="{9BD8E010-543A-43E7-8293-7FE361CF4811}" name="UNIDAD DE MEDIDA"/>
    <tableColumn id="4" xr3:uid="{AE928029-3EE1-4AFD-8624-0FE427F80EDD}" name="CANTIDAD TOTAL ESTIMADA"/>
    <tableColumn id="5" xr3:uid="{4BFECEBE-AEF3-4942-A895-4C2916DBB4A4}" name="PRECIO UNITARIO ESTIMADO"/>
    <tableColumn id="6" xr3:uid="{CC8203F7-A433-43C0-9650-03C1F245F0C0}"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5511A48C-EA38-4583-AE61-D6DA736C150D}" name="Table7" displayName="Table7" ref="A154:F185" totalsRowShown="0">
  <tableColumns count="6">
    <tableColumn id="1" xr3:uid="{58FD4A1A-F700-4CF2-BC08-E77925647193}" name="CÓDIGO CATÁLOGO"/>
    <tableColumn id="2" xr3:uid="{21C3560C-362B-4DD6-8DE1-A3B2217988F0}" name="ARTÍCULO"/>
    <tableColumn id="3" xr3:uid="{2B7F414A-3C0E-4FF5-9F90-D77AEE2C5B78}" name="UNIDAD DE MEDIDA">
      <calculatedColumnFormula>IFERROR(VLOOKUP("UD",'[1]Informacion '!P:Q,2,FALSE),"")</calculatedColumnFormula>
    </tableColumn>
    <tableColumn id="4" xr3:uid="{87407460-3A02-440D-9579-21915F698BBE}" name="CANTIDAD TOTAL ESTIMADA"/>
    <tableColumn id="5" xr3:uid="{F169C41D-E2CA-47F9-A7E7-82C0A9BFB5D1}" name="PRECIO UNITARIO ESTIMADO"/>
    <tableColumn id="6" xr3:uid="{E13A8CDA-6617-4A20-B84F-78591978D45B}"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AAAFFCC9-CE78-4B30-A3B8-31112EEC5E3D}" name="Table23" displayName="Table23" ref="A849:F854" totalsRowShown="0">
  <tableColumns count="6">
    <tableColumn id="1" xr3:uid="{63D34FB1-8356-42AC-B907-345B332D63B3}" name="CÓDIGO CATÁLOGO"/>
    <tableColumn id="2" xr3:uid="{03B82652-2EB7-42AB-9BDB-FCAE370851F8}" name="ARTÍCULO"/>
    <tableColumn id="3" xr3:uid="{5B8A53DE-A29C-45BC-BF5A-10B073F11F4B}" name="UNIDAD DE MEDIDA">
      <calculatedColumnFormula>IFERROR(VLOOKUP("UD",'[1]Informacion '!P:Q,2,FALSE),"")</calculatedColumnFormula>
    </tableColumn>
    <tableColumn id="4" xr3:uid="{F0CDBBB4-24AF-4140-9FC3-EED64CF292A0}" name="CANTIDAD TOTAL ESTIMADA" dataDxfId="0" dataCellStyle="ArticleBody"/>
    <tableColumn id="5" xr3:uid="{29E95DC3-900B-467C-AEE4-A3D563DBC41E}" name="PRECIO UNITARIO ESTIMADO"/>
    <tableColumn id="6" xr3:uid="{8BE93DC8-5AB2-426D-A733-3F6FE907AA07}"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149C44-29CF-4A00-93CF-74909BC22D06}" name="Table49" displayName="Table49" ref="A1369:F1370" totalsRowShown="0">
  <tableColumns count="6">
    <tableColumn id="1" xr3:uid="{E6480CB6-B839-4C57-9415-ABB861B16038}" name="CÓDIGO CATÁLOGO"/>
    <tableColumn id="2" xr3:uid="{0F8D2871-83BC-4CF8-828F-B2FBBF6D3D4A}" name="ARTÍCULO">
      <calculatedColumnFormula>IFERROR(INDEX(UNSPSCDes,MATCH(INDIRECT(ADDRESS(ROW(),COLUMN()-1,4)),UNSPSCCode,0)),IF(INDIRECT(ADDRESS(ROW(),COLUMN()-1,4))="76121501","Recolección o destrucción o transformación o eliminación de basuras",""))</calculatedColumnFormula>
    </tableColumn>
    <tableColumn id="3" xr3:uid="{1D57E609-4396-4836-9CED-C4F0292D73A5}" name="UNIDAD DE MEDIDA">
      <calculatedColumnFormula>IFERROR(VLOOKUP("UD",'[1]Informacion '!P:Q,2,FALSE),"")</calculatedColumnFormula>
    </tableColumn>
    <tableColumn id="4" xr3:uid="{87F155F0-F2F7-482E-B962-316D1E252F46}" name="CANTIDAD TOTAL ESTIMADA"/>
    <tableColumn id="5" xr3:uid="{40A52C4E-50C2-4354-88F3-73BBFB2A1795}" name="PRECIO UNITARIO ESTIMADO"/>
    <tableColumn id="6" xr3:uid="{BD0576E7-5426-4883-B902-C680B56F57B2}"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4CD18BD2-086D-45CF-A5A8-86B432975D39}" name="Table31" displayName="Table31" ref="A998:F1006" totalsRowShown="0">
  <tableColumns count="6">
    <tableColumn id="1" xr3:uid="{D40977E2-B1FD-4114-B5E3-F70566E5A531}" name="CÓDIGO CATÁLOGO"/>
    <tableColumn id="2" xr3:uid="{E6A3A659-B890-491A-AA6E-C0018A171DA5}" name="ARTÍCULO">
      <calculatedColumnFormula>IFERROR(INDEX(UNSPSCDes,MATCH(INDIRECT(ADDRESS(ROW(),COLUMN()-1,4)),UNSPSCCode,0)),IF(INDIRECT(ADDRESS(ROW(),COLUMN()-1,4))="50112001","Carnes procesadas y preparadas fresco",""))</calculatedColumnFormula>
    </tableColumn>
    <tableColumn id="3" xr3:uid="{D3DDC61F-71B4-4069-883D-82498B7F1977}" name="UNIDAD DE MEDIDA"/>
    <tableColumn id="4" xr3:uid="{811BC8F3-23E8-4556-8AD8-DC53BF5D5F2C}" name="CANTIDAD TOTAL ESTIMADA"/>
    <tableColumn id="5" xr3:uid="{2E991E2B-4A8F-4606-8197-E2E93E30D47A}" name="PRECIO UNITARIO ESTIMADO"/>
    <tableColumn id="6" xr3:uid="{46CC5893-9B3C-438F-BF14-3242C797CBBA}"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604D3875-E485-4E55-B017-CE58CA1198CE}" name="Table32" displayName="Table32" ref="A1016:F1024" totalsRowShown="0">
  <tableColumns count="6">
    <tableColumn id="1" xr3:uid="{198CE9B3-FED6-44F2-9D97-C0DDF0F4D42F}" name="CÓDIGO CATÁLOGO"/>
    <tableColumn id="2" xr3:uid="{F84EA9D1-2FD0-4F12-8EF5-C3BFB3CC8ED9}" name="ARTÍCULO">
      <calculatedColumnFormula>IFERROR(INDEX(UNSPSCDes,MATCH(INDIRECT(ADDRESS(ROW(),COLUMN()-1,4)),UNSPSCCode,0)),IF(INDIRECT(ADDRESS(ROW(),COLUMN()-1,4))="50112001","Carnes procesadas y preparadas fresco",""))</calculatedColumnFormula>
    </tableColumn>
    <tableColumn id="3" xr3:uid="{41605C3F-37DD-454B-8A21-07E2B1537F6C}" name="UNIDAD DE MEDIDA"/>
    <tableColumn id="4" xr3:uid="{FFB815DE-5A61-47F5-9EC7-8CEC10D2F5D4}" name="CANTIDAD TOTAL ESTIMADA"/>
    <tableColumn id="5" xr3:uid="{8E415D04-37D8-4D7E-BD15-C7B8D274D2FE}" name="PRECIO UNITARIO ESTIMADO"/>
    <tableColumn id="6" xr3:uid="{697B4691-A848-450A-9786-73716C1BF9BA}"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D0D26DA-4158-4BE5-B925-046DB9290B8C}" name="Table35" displayName="Table35" ref="A1070:F1078" totalsRowShown="0">
  <tableColumns count="6">
    <tableColumn id="1" xr3:uid="{52C95D18-2390-404F-B748-D467F3F9BAB0}" name="CÓDIGO CATÁLOGO"/>
    <tableColumn id="2" xr3:uid="{3D1E6148-EB20-4D90-A69D-5709B9C6EB7D}" name="ARTÍCULO"/>
    <tableColumn id="3" xr3:uid="{80B8BA49-C28F-48BB-89CC-33A013FC0487}" name="UNIDAD DE MEDIDA"/>
    <tableColumn id="4" xr3:uid="{492F4E7F-6709-4326-86C3-27162F27F912}" name="CANTIDAD TOTAL ESTIMADA"/>
    <tableColumn id="5" xr3:uid="{38CBB5A2-7D06-4823-AE03-946B96C1AB1A}" name="PRECIO UNITARIO ESTIMADO"/>
    <tableColumn id="6" xr3:uid="{3DC9E216-93FB-43D1-AE59-5AD9E5C2E2E8}"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41AACD1D-83F0-41CF-BA79-E7C0F620EBAA}" name="Table20" displayName="Table20" ref="A765:F809" totalsRowShown="0">
  <tableColumns count="6">
    <tableColumn id="1" xr3:uid="{1DED02FB-EB78-4090-9083-8E85D9803117}" name="CÓDIGO CATÁLOGO"/>
    <tableColumn id="2" xr3:uid="{EF5BAEA8-ECED-4D52-813C-DDB4C62F08DE}" name="ARTÍCULO"/>
    <tableColumn id="3" xr3:uid="{171ACD00-EEC5-4830-8F1B-D7819CCD1070}" name="UNIDAD DE MEDIDA"/>
    <tableColumn id="4" xr3:uid="{8C73D460-14D2-4063-B108-FDF91DE1C8E6}" name="CANTIDAD TOTAL ESTIMADA"/>
    <tableColumn id="5" xr3:uid="{2E8E9A8E-9387-4FFD-84DB-4DEEFA74409A}" name="PRECIO UNITARIO ESTIMADO"/>
    <tableColumn id="6" xr3:uid="{440D0792-6B71-4532-AEB8-8F09A665BC9E}"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AFE813FD-5987-49C5-BBB3-91618CC16FDC}" name="Table56" displayName="Table56" ref="A1457:F1458" totalsRowShown="0">
  <tableColumns count="6">
    <tableColumn id="1" xr3:uid="{7F8F7731-AFD8-47D8-9FCE-CB986EF5E1D3}" name="CÓDIGO CATÁLOGO"/>
    <tableColumn id="2" xr3:uid="{DDB08A57-4E16-4706-889B-25474B0B2DFD}" name="ARTÍCULO">
      <calculatedColumnFormula>IFERROR(INDEX(UNSPSCDes,MATCH(INDIRECT(ADDRESS(ROW(),COLUMN()-1,4)),UNSPSCCode,0)),IF(INDIRECT(ADDRESS(ROW(),COLUMN()-1,4))="40101704","Unidades de condensación",""))</calculatedColumnFormula>
    </tableColumn>
    <tableColumn id="3" xr3:uid="{F1B04A47-9D71-488E-9B84-E016867B52DD}" name="UNIDAD DE MEDIDA">
      <calculatedColumnFormula>IFERROR(VLOOKUP("UD",'[1]Informacion '!P:Q,2,FALSE),"")</calculatedColumnFormula>
    </tableColumn>
    <tableColumn id="4" xr3:uid="{1E70D3DA-8EB3-457E-80BD-0084BB28564D}" name="CANTIDAD TOTAL ESTIMADA"/>
    <tableColumn id="5" xr3:uid="{9E3B1DB5-8360-406C-A899-2D8F6EE9F2C8}" name="PRECIO UNITARIO ESTIMADO"/>
    <tableColumn id="6" xr3:uid="{D4362DE4-207A-4EB4-B280-F4C22C862DF8}"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7" Type="http://schemas.openxmlformats.org/officeDocument/2006/relationships/table" Target="../tables/table5.xml"/><Relationship Id="rId2" Type="http://schemas.openxmlformats.org/officeDocument/2006/relationships/vmlDrawing" Target="../drawings/vmlDrawing1.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comments" Target="../comments1.xml"/><Relationship Id="rId5" Type="http://schemas.openxmlformats.org/officeDocument/2006/relationships/table" Target="../tables/table3.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8" Type="http://schemas.openxmlformats.org/officeDocument/2006/relationships/table" Target="../tables/table6.xml"/><Relationship Id="rId51" Type="http://schemas.openxmlformats.org/officeDocument/2006/relationships/table" Target="../tables/table49.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1" Type="http://schemas.openxmlformats.org/officeDocument/2006/relationships/drawing" Target="../drawings/drawing1.xml"/><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7FFD5-551F-4A10-A2A8-3623F1C1FD09}">
  <dimension ref="A1:F1493"/>
  <sheetViews>
    <sheetView tabSelected="1" zoomScale="75" zoomScaleNormal="75" workbookViewId="0">
      <selection activeCell="B4" sqref="B4"/>
    </sheetView>
  </sheetViews>
  <sheetFormatPr baseColWidth="10" defaultRowHeight="15" x14ac:dyDescent="0.25"/>
  <cols>
    <col min="1" max="1" width="32" customWidth="1"/>
    <col min="2" max="2" width="86.7109375" customWidth="1"/>
    <col min="3" max="3" width="29.42578125" customWidth="1"/>
    <col min="4" max="4" width="30.28515625" customWidth="1"/>
    <col min="5" max="5" width="27.7109375" customWidth="1"/>
    <col min="6" max="6" width="41" customWidth="1"/>
  </cols>
  <sheetData>
    <row r="1" spans="1:6" ht="13.5" customHeight="1" thickTop="1" x14ac:dyDescent="0.25">
      <c r="A1" s="1"/>
      <c r="B1" s="2"/>
      <c r="C1" s="3"/>
      <c r="D1" s="3"/>
      <c r="E1" s="4"/>
      <c r="F1" s="2"/>
    </row>
    <row r="2" spans="1:6" ht="23.25" x14ac:dyDescent="0.25">
      <c r="A2" s="1"/>
      <c r="B2" s="5" t="s">
        <v>0</v>
      </c>
      <c r="C2" s="5"/>
      <c r="D2" s="5"/>
      <c r="E2" s="5"/>
      <c r="F2" s="6"/>
    </row>
    <row r="3" spans="1:6" ht="32.25" customHeight="1" x14ac:dyDescent="0.25">
      <c r="A3" s="1"/>
      <c r="B3" s="7" t="str">
        <f>"AÑO "&amp;E11</f>
        <v>AÑO 2026</v>
      </c>
      <c r="C3" s="7"/>
      <c r="D3" s="7"/>
      <c r="E3" s="7"/>
      <c r="F3" s="8"/>
    </row>
    <row r="4" spans="1:6" ht="18.75" x14ac:dyDescent="0.25">
      <c r="A4" s="1"/>
      <c r="B4" s="2"/>
      <c r="C4" s="2"/>
      <c r="D4" s="2"/>
      <c r="E4" s="9"/>
      <c r="F4" s="2"/>
    </row>
    <row r="5" spans="1:6" ht="21.75" thickBot="1" x14ac:dyDescent="0.3">
      <c r="A5" s="10"/>
      <c r="B5" s="10"/>
      <c r="C5" s="11"/>
      <c r="D5" s="11"/>
      <c r="E5" s="11"/>
      <c r="F5" s="11"/>
    </row>
    <row r="6" spans="1:6" ht="15.75" thickBot="1" x14ac:dyDescent="0.3">
      <c r="A6" s="12" t="s">
        <v>1</v>
      </c>
      <c r="B6" s="13"/>
      <c r="C6" s="14"/>
      <c r="D6" s="15" t="s">
        <v>2</v>
      </c>
      <c r="E6" s="16" t="s">
        <v>3</v>
      </c>
      <c r="F6" s="17"/>
    </row>
    <row r="7" spans="1:6" ht="12.75" customHeight="1" thickBot="1" x14ac:dyDescent="0.3">
      <c r="A7" s="18" t="s">
        <v>4</v>
      </c>
      <c r="B7" s="13"/>
      <c r="C7" s="13"/>
      <c r="D7" s="15" t="s">
        <v>5</v>
      </c>
      <c r="E7" s="16" t="s">
        <v>6</v>
      </c>
      <c r="F7" s="17"/>
    </row>
    <row r="8" spans="1:6" ht="16.5" customHeight="1" thickBot="1" x14ac:dyDescent="0.3">
      <c r="A8" s="13"/>
      <c r="B8" s="13"/>
      <c r="C8" s="13"/>
      <c r="D8" s="15" t="s">
        <v>7</v>
      </c>
      <c r="E8" s="16" t="s">
        <v>8</v>
      </c>
      <c r="F8" s="17"/>
    </row>
    <row r="9" spans="1:6" ht="21" customHeight="1" thickBot="1" x14ac:dyDescent="0.3">
      <c r="A9" s="19" t="s">
        <v>9</v>
      </c>
      <c r="B9" s="20">
        <f ca="1">COUNTIFS(TotalEstColumnName,"="&amp;TotalEstLabel,TotalEstColumnValue,"&gt;0")</f>
        <v>55</v>
      </c>
      <c r="C9" s="13"/>
      <c r="D9" s="15" t="s">
        <v>10</v>
      </c>
      <c r="E9" s="16" t="s">
        <v>11</v>
      </c>
      <c r="F9" s="17"/>
    </row>
    <row r="10" spans="1:6" ht="36.75" thickBot="1" x14ac:dyDescent="0.3">
      <c r="A10" s="21" t="s">
        <v>12</v>
      </c>
      <c r="B10" s="22">
        <f ca="1">SUMIF(TotalEstColumnName,"="&amp;TotalEstLabel,TotalEstColumnValue)</f>
        <v>80465198.110000014</v>
      </c>
      <c r="C10" s="13"/>
      <c r="D10" s="15" t="s">
        <v>13</v>
      </c>
      <c r="E10" s="16" t="s">
        <v>14</v>
      </c>
      <c r="F10" s="17"/>
    </row>
    <row r="11" spans="1:6" ht="15.75" thickBot="1" x14ac:dyDescent="0.3">
      <c r="A11" s="13"/>
      <c r="B11" s="13"/>
      <c r="C11" s="13"/>
      <c r="D11" s="15" t="s">
        <v>15</v>
      </c>
      <c r="E11" s="23">
        <v>2026</v>
      </c>
      <c r="F11" s="24"/>
    </row>
    <row r="12" spans="1:6" ht="19.5" customHeight="1" thickBot="1" x14ac:dyDescent="0.3">
      <c r="A12" s="25"/>
      <c r="B12" s="25"/>
      <c r="C12" s="25"/>
      <c r="D12" s="15" t="s">
        <v>16</v>
      </c>
      <c r="E12" s="26" t="s">
        <v>17</v>
      </c>
      <c r="F12" s="27"/>
    </row>
    <row r="13" spans="1:6" x14ac:dyDescent="0.25">
      <c r="A13" s="28"/>
      <c r="B13" s="28"/>
      <c r="C13" s="28"/>
      <c r="D13" s="28"/>
      <c r="E13" s="28"/>
      <c r="F13" s="28"/>
    </row>
    <row r="14" spans="1:6" ht="15.75" thickBot="1" x14ac:dyDescent="0.3">
      <c r="A14" s="28"/>
      <c r="B14" s="28"/>
      <c r="C14" s="28"/>
      <c r="D14" s="28"/>
      <c r="E14" s="28"/>
      <c r="F14" s="28"/>
    </row>
    <row r="15" spans="1:6" ht="34.5" thickBot="1" x14ac:dyDescent="0.3">
      <c r="A15" s="29" t="s">
        <v>18</v>
      </c>
      <c r="B15" s="29" t="s">
        <v>19</v>
      </c>
      <c r="C15" s="29" t="s">
        <v>20</v>
      </c>
      <c r="D15" s="29" t="s">
        <v>21</v>
      </c>
      <c r="E15" s="29" t="s">
        <v>22</v>
      </c>
      <c r="F15" s="29" t="s">
        <v>23</v>
      </c>
    </row>
    <row r="16" spans="1:6" ht="15.75" thickBot="1" x14ac:dyDescent="0.3">
      <c r="A16" s="30" t="s">
        <v>24</v>
      </c>
      <c r="B16" s="30" t="s">
        <v>25</v>
      </c>
      <c r="C16" s="30" t="s">
        <v>26</v>
      </c>
      <c r="D16" s="30" t="s">
        <v>27</v>
      </c>
      <c r="E16" s="30" t="s">
        <v>28</v>
      </c>
      <c r="F16" s="30"/>
    </row>
    <row r="17" spans="1:6" ht="15.75" thickBot="1" x14ac:dyDescent="0.3">
      <c r="A17" s="31" t="s">
        <v>29</v>
      </c>
      <c r="B17" s="32" t="s">
        <v>30</v>
      </c>
      <c r="C17" s="33">
        <v>46116</v>
      </c>
      <c r="D17" s="31" t="s">
        <v>31</v>
      </c>
      <c r="E17" s="34" t="s">
        <v>32</v>
      </c>
      <c r="F17" s="35" t="s">
        <v>33</v>
      </c>
    </row>
    <row r="18" spans="1:6" ht="15.75" thickBot="1" x14ac:dyDescent="0.3">
      <c r="A18" s="36"/>
      <c r="B18" s="32" t="s">
        <v>34</v>
      </c>
      <c r="C18" s="37">
        <f>IF(C17="","",IF(AND(MONTH(C17)&gt;=1,MONTH(C17)&lt;=3),1,IF(AND(MONTH(C17)&gt;=4,MONTH(C17)&lt;=6),2,IF(AND(MONTH(C17)&gt;=7,MONTH(C17)&lt;=9),3,4))))</f>
        <v>2</v>
      </c>
      <c r="D18" s="36"/>
      <c r="E18" s="34" t="s">
        <v>35</v>
      </c>
      <c r="F18" s="35"/>
    </row>
    <row r="19" spans="1:6" ht="15.75" thickBot="1" x14ac:dyDescent="0.3">
      <c r="A19" s="36"/>
      <c r="B19" s="32" t="s">
        <v>36</v>
      </c>
      <c r="C19" s="33">
        <v>46142</v>
      </c>
      <c r="D19" s="36"/>
      <c r="E19" s="34" t="s">
        <v>37</v>
      </c>
      <c r="F19" s="35"/>
    </row>
    <row r="20" spans="1:6" ht="15.75" thickBot="1" x14ac:dyDescent="0.3">
      <c r="A20" s="36"/>
      <c r="B20" s="32" t="s">
        <v>34</v>
      </c>
      <c r="C20" s="37">
        <f>IF(C19="","",IF(AND(MONTH(C19)&gt;=1,MONTH(C19)&lt;=3),1,IF(AND(MONTH(C19)&gt;=4,MONTH(C19)&lt;=6),2,IF(AND(MONTH(C19)&gt;=7,MONTH(C19)&lt;=9),3,4))))</f>
        <v>2</v>
      </c>
      <c r="D20" s="36"/>
      <c r="E20" s="34" t="s">
        <v>38</v>
      </c>
      <c r="F20" s="35"/>
    </row>
    <row r="21" spans="1:6" ht="15.75" thickBot="1" x14ac:dyDescent="0.3">
      <c r="A21" s="28"/>
      <c r="B21" s="28"/>
      <c r="C21" s="28"/>
      <c r="D21" s="28"/>
      <c r="E21" s="28"/>
      <c r="F21" s="28"/>
    </row>
    <row r="22" spans="1:6" ht="15.75" thickBot="1" x14ac:dyDescent="0.3">
      <c r="A22" s="38" t="s">
        <v>39</v>
      </c>
      <c r="B22" s="38" t="s">
        <v>40</v>
      </c>
      <c r="C22" s="38" t="s">
        <v>41</v>
      </c>
      <c r="D22" s="38" t="s">
        <v>42</v>
      </c>
      <c r="E22" s="38" t="s">
        <v>43</v>
      </c>
      <c r="F22" s="38" t="s">
        <v>44</v>
      </c>
    </row>
    <row r="23" spans="1:6" ht="27.75" customHeight="1" x14ac:dyDescent="0.25">
      <c r="A23" s="39" t="s">
        <v>45</v>
      </c>
      <c r="B23" s="40" t="str">
        <f ca="1">IFERROR(INDEX(UNSPSCDes,MATCH(INDIRECT(ADDRESS(ROW(),COLUMN()-1,4)),UNSPSCCode,0)),IF(INDIRECT(ADDRESS(ROW(),COLUMN()-1,4))="50151513","Aceites vegetales o  de planta comestibles",""))</f>
        <v>Aceites vegetales o  de planta comestibles</v>
      </c>
      <c r="C23" s="41" t="str">
        <f>IFERROR(VLOOKUP("UD",'[1]Informacion '!P:Q,2,FALSE),"")</f>
        <v>Unidad</v>
      </c>
      <c r="D23" s="39">
        <v>7</v>
      </c>
      <c r="E23" s="42">
        <v>8758.6200000000008</v>
      </c>
      <c r="F23" s="43">
        <f ca="1">INDIRECT(ADDRESS(ROW(),COLUMN()-2,4))*INDIRECT(ADDRESS(ROW(),COLUMN()-1,4))</f>
        <v>61310.340000000004</v>
      </c>
    </row>
    <row r="24" spans="1:6" x14ac:dyDescent="0.25">
      <c r="A24" s="28"/>
      <c r="B24" s="28"/>
      <c r="C24" s="28"/>
      <c r="D24" s="28"/>
      <c r="E24" s="44" t="s">
        <v>46</v>
      </c>
      <c r="F24" s="45">
        <f ca="1">SUM(Table4[MONTO TOTAL ESTIMADO])</f>
        <v>61310.340000000004</v>
      </c>
    </row>
    <row r="25" spans="1:6" ht="15.75" thickBot="1" x14ac:dyDescent="0.3">
      <c r="A25" s="28"/>
      <c r="B25" s="28"/>
      <c r="C25" s="28"/>
      <c r="D25" s="28"/>
      <c r="E25" s="28"/>
      <c r="F25" s="28"/>
    </row>
    <row r="26" spans="1:6" ht="34.5" thickBot="1" x14ac:dyDescent="0.3">
      <c r="A26" s="29" t="s">
        <v>18</v>
      </c>
      <c r="B26" s="29" t="s">
        <v>19</v>
      </c>
      <c r="C26" s="29" t="s">
        <v>20</v>
      </c>
      <c r="D26" s="29" t="s">
        <v>21</v>
      </c>
      <c r="E26" s="29" t="s">
        <v>22</v>
      </c>
      <c r="F26" s="29" t="s">
        <v>23</v>
      </c>
    </row>
    <row r="27" spans="1:6" ht="15.75" thickBot="1" x14ac:dyDescent="0.3">
      <c r="A27" s="30" t="s">
        <v>47</v>
      </c>
      <c r="B27" s="30" t="s">
        <v>48</v>
      </c>
      <c r="C27" s="30" t="s">
        <v>26</v>
      </c>
      <c r="D27" s="30" t="s">
        <v>49</v>
      </c>
      <c r="E27" s="30" t="s">
        <v>28</v>
      </c>
      <c r="F27" s="30" t="s">
        <v>17</v>
      </c>
    </row>
    <row r="28" spans="1:6" ht="15.75" thickBot="1" x14ac:dyDescent="0.3">
      <c r="A28" s="31" t="s">
        <v>29</v>
      </c>
      <c r="B28" s="32" t="s">
        <v>30</v>
      </c>
      <c r="C28" s="33">
        <v>46305</v>
      </c>
      <c r="D28" s="31" t="s">
        <v>31</v>
      </c>
      <c r="E28" s="34" t="s">
        <v>32</v>
      </c>
      <c r="F28" s="35" t="s">
        <v>33</v>
      </c>
    </row>
    <row r="29" spans="1:6" ht="15.75" thickBot="1" x14ac:dyDescent="0.3">
      <c r="A29" s="36"/>
      <c r="B29" s="32" t="s">
        <v>34</v>
      </c>
      <c r="C29" s="37">
        <f>IF(C28="","",IF(AND(MONTH(C28)&gt;=1,MONTH(C28)&lt;=3),1,IF(AND(MONTH(C28)&gt;=4,MONTH(C28)&lt;=6),2,IF(AND(MONTH(C28)&gt;=7,MONTH(C28)&lt;=9),3,4))))</f>
        <v>4</v>
      </c>
      <c r="D29" s="36"/>
      <c r="E29" s="34" t="s">
        <v>35</v>
      </c>
      <c r="F29" s="35"/>
    </row>
    <row r="30" spans="1:6" ht="15.75" thickBot="1" x14ac:dyDescent="0.3">
      <c r="A30" s="36"/>
      <c r="B30" s="32" t="s">
        <v>36</v>
      </c>
      <c r="C30" s="33">
        <v>46320</v>
      </c>
      <c r="D30" s="36"/>
      <c r="E30" s="34" t="s">
        <v>37</v>
      </c>
      <c r="F30" s="35"/>
    </row>
    <row r="31" spans="1:6" ht="15.75" thickBot="1" x14ac:dyDescent="0.3">
      <c r="A31" s="36"/>
      <c r="B31" s="32" t="s">
        <v>34</v>
      </c>
      <c r="C31" s="37">
        <f>IF(C30="","",IF(AND(MONTH(C30)&gt;=1,MONTH(C30)&lt;=3),1,IF(AND(MONTH(C30)&gt;=4,MONTH(C30)&lt;=6),2,IF(AND(MONTH(C30)&gt;=7,MONTH(C30)&lt;=9),3,4))))</f>
        <v>4</v>
      </c>
      <c r="D31" s="36"/>
      <c r="E31" s="34" t="s">
        <v>38</v>
      </c>
      <c r="F31" s="35"/>
    </row>
    <row r="32" spans="1:6" ht="15.75" thickBot="1" x14ac:dyDescent="0.3">
      <c r="A32" s="46"/>
      <c r="B32" s="46"/>
      <c r="C32" s="46"/>
      <c r="D32" s="46"/>
      <c r="E32" s="46"/>
      <c r="F32" s="46"/>
    </row>
    <row r="33" spans="1:6" ht="15.75" thickBot="1" x14ac:dyDescent="0.3">
      <c r="A33" s="38" t="s">
        <v>39</v>
      </c>
      <c r="B33" s="38" t="s">
        <v>40</v>
      </c>
      <c r="C33" s="38" t="s">
        <v>41</v>
      </c>
      <c r="D33" s="38" t="s">
        <v>42</v>
      </c>
      <c r="E33" s="38" t="s">
        <v>43</v>
      </c>
      <c r="F33" s="38" t="s">
        <v>44</v>
      </c>
    </row>
    <row r="34" spans="1:6" ht="33.75" x14ac:dyDescent="0.25">
      <c r="A34" s="39" t="s">
        <v>50</v>
      </c>
      <c r="B34" s="40" t="str">
        <f t="shared" ref="B34:B44" ca="1" si="0">IFERROR(INDEX(UNSPSCDes,MATCH(INDIRECT(ADDRESS(ROW(),COLUMN()-1,4)),UNSPSCCode,0)),IF(INDIRECT(ADDRESS(ROW(),COLUMN()-1,4))="41116008","Reactivos analizadores de hematología",""))</f>
        <v>Reactivos analizadores de hematología</v>
      </c>
      <c r="C34" s="41" t="str">
        <f>IFERROR(VLOOKUP("UD",'[1]Informacion '!P:Q,2,FALSE),"")</f>
        <v>Unidad</v>
      </c>
      <c r="D34" s="39">
        <v>180</v>
      </c>
      <c r="E34" s="42">
        <v>236</v>
      </c>
      <c r="F34" s="43">
        <f t="shared" ref="F34:F97" ca="1" si="1">INDIRECT(ADDRESS(ROW(),COLUMN()-2,4))*INDIRECT(ADDRESS(ROW(),COLUMN()-1,4))</f>
        <v>42480</v>
      </c>
    </row>
    <row r="35" spans="1:6" ht="33.75" x14ac:dyDescent="0.25">
      <c r="A35" s="39" t="s">
        <v>50</v>
      </c>
      <c r="B35" s="40" t="str">
        <f t="shared" ca="1" si="0"/>
        <v>Reactivos analizadores de hematología</v>
      </c>
      <c r="C35" s="41" t="str">
        <f>IFERROR(VLOOKUP("UD",'[1]Informacion '!P:Q,2,FALSE),"")</f>
        <v>Unidad</v>
      </c>
      <c r="D35" s="39">
        <v>4</v>
      </c>
      <c r="E35" s="42">
        <v>7630</v>
      </c>
      <c r="F35" s="43">
        <f t="shared" ca="1" si="1"/>
        <v>30520</v>
      </c>
    </row>
    <row r="36" spans="1:6" ht="33.75" x14ac:dyDescent="0.25">
      <c r="A36" s="39" t="s">
        <v>50</v>
      </c>
      <c r="B36" s="40" t="str">
        <f t="shared" ca="1" si="0"/>
        <v>Reactivos analizadores de hematología</v>
      </c>
      <c r="C36" s="41" t="str">
        <f>IFERROR(VLOOKUP("UD",'[1]Informacion '!P:Q,2,FALSE),"")</f>
        <v>Unidad</v>
      </c>
      <c r="D36" s="39">
        <v>55</v>
      </c>
      <c r="E36" s="42">
        <v>8665.65</v>
      </c>
      <c r="F36" s="43">
        <f t="shared" ca="1" si="1"/>
        <v>476610.75</v>
      </c>
    </row>
    <row r="37" spans="1:6" ht="33.75" x14ac:dyDescent="0.25">
      <c r="A37" s="39" t="s">
        <v>50</v>
      </c>
      <c r="B37" s="40" t="str">
        <f t="shared" ca="1" si="0"/>
        <v>Reactivos analizadores de hematología</v>
      </c>
      <c r="C37" s="41" t="str">
        <f>IFERROR(VLOOKUP("UD",'[1]Informacion '!P:Q,2,FALSE),"")</f>
        <v>Unidad</v>
      </c>
      <c r="D37" s="39">
        <v>8</v>
      </c>
      <c r="E37" s="42">
        <v>20305</v>
      </c>
      <c r="F37" s="43">
        <f t="shared" ca="1" si="1"/>
        <v>162440</v>
      </c>
    </row>
    <row r="38" spans="1:6" ht="33.75" x14ac:dyDescent="0.25">
      <c r="A38" s="39" t="s">
        <v>50</v>
      </c>
      <c r="B38" s="40" t="str">
        <f t="shared" ca="1" si="0"/>
        <v>Reactivos analizadores de hematología</v>
      </c>
      <c r="C38" s="41" t="str">
        <f>IFERROR(VLOOKUP("UD",'[1]Informacion '!P:Q,2,FALSE),"")</f>
        <v>Unidad</v>
      </c>
      <c r="D38" s="39">
        <v>7</v>
      </c>
      <c r="E38" s="42">
        <v>23603.58</v>
      </c>
      <c r="F38" s="43">
        <f t="shared" ca="1" si="1"/>
        <v>165225.06</v>
      </c>
    </row>
    <row r="39" spans="1:6" ht="33.75" x14ac:dyDescent="0.25">
      <c r="A39" s="39" t="s">
        <v>50</v>
      </c>
      <c r="B39" s="40" t="str">
        <f t="shared" ca="1" si="0"/>
        <v>Reactivos analizadores de hematología</v>
      </c>
      <c r="C39" s="41" t="str">
        <f>IFERROR(VLOOKUP("UD",'[1]Informacion '!P:Q,2,FALSE),"")</f>
        <v>Unidad</v>
      </c>
      <c r="D39" s="39">
        <v>150</v>
      </c>
      <c r="E39" s="42">
        <v>350</v>
      </c>
      <c r="F39" s="43">
        <f t="shared" ca="1" si="1"/>
        <v>52500</v>
      </c>
    </row>
    <row r="40" spans="1:6" ht="33.75" x14ac:dyDescent="0.25">
      <c r="A40" s="39" t="s">
        <v>50</v>
      </c>
      <c r="B40" s="40" t="str">
        <f t="shared" ca="1" si="0"/>
        <v>Reactivos analizadores de hematología</v>
      </c>
      <c r="C40" s="41" t="str">
        <f>IFERROR(VLOOKUP("UD",'[1]Informacion '!P:Q,2,FALSE),"")</f>
        <v>Unidad</v>
      </c>
      <c r="D40" s="39">
        <v>10</v>
      </c>
      <c r="E40" s="42">
        <v>6223</v>
      </c>
      <c r="F40" s="43">
        <f t="shared" ca="1" si="1"/>
        <v>62230</v>
      </c>
    </row>
    <row r="41" spans="1:6" ht="33.75" x14ac:dyDescent="0.25">
      <c r="A41" s="39" t="s">
        <v>50</v>
      </c>
      <c r="B41" s="40" t="str">
        <f t="shared" ca="1" si="0"/>
        <v>Reactivos analizadores de hematología</v>
      </c>
      <c r="C41" s="41" t="str">
        <f>IFERROR(VLOOKUP("UD",'[1]Informacion '!P:Q,2,FALSE),"")</f>
        <v>Unidad</v>
      </c>
      <c r="D41" s="39">
        <v>10</v>
      </c>
      <c r="E41" s="42">
        <v>4621.68</v>
      </c>
      <c r="F41" s="43">
        <f t="shared" ca="1" si="1"/>
        <v>46216.800000000003</v>
      </c>
    </row>
    <row r="42" spans="1:6" ht="33.75" x14ac:dyDescent="0.25">
      <c r="A42" s="39" t="s">
        <v>50</v>
      </c>
      <c r="B42" s="40" t="str">
        <f t="shared" ca="1" si="0"/>
        <v>Reactivos analizadores de hematología</v>
      </c>
      <c r="C42" s="41" t="str">
        <f>IFERROR(VLOOKUP("UD",'[1]Informacion '!P:Q,2,FALSE),"")</f>
        <v>Unidad</v>
      </c>
      <c r="D42" s="39">
        <v>15</v>
      </c>
      <c r="E42" s="42">
        <v>6223</v>
      </c>
      <c r="F42" s="43">
        <f t="shared" ca="1" si="1"/>
        <v>93345</v>
      </c>
    </row>
    <row r="43" spans="1:6" ht="33.75" x14ac:dyDescent="0.25">
      <c r="A43" s="39" t="s">
        <v>50</v>
      </c>
      <c r="B43" s="40" t="str">
        <f t="shared" ca="1" si="0"/>
        <v>Reactivos analizadores de hematología</v>
      </c>
      <c r="C43" s="41" t="str">
        <f>IFERROR(VLOOKUP("UD",'[1]Informacion '!P:Q,2,FALSE),"")</f>
        <v>Unidad</v>
      </c>
      <c r="D43" s="39">
        <v>32</v>
      </c>
      <c r="E43" s="42">
        <v>310</v>
      </c>
      <c r="F43" s="43">
        <f t="shared" ca="1" si="1"/>
        <v>9920</v>
      </c>
    </row>
    <row r="44" spans="1:6" ht="33.75" x14ac:dyDescent="0.25">
      <c r="A44" s="39" t="s">
        <v>50</v>
      </c>
      <c r="B44" s="40" t="str">
        <f t="shared" ca="1" si="0"/>
        <v>Reactivos analizadores de hematología</v>
      </c>
      <c r="C44" s="41" t="str">
        <f>IFERROR(VLOOKUP("UD",'[1]Informacion '!P:Q,2,FALSE),"")</f>
        <v>Unidad</v>
      </c>
      <c r="D44" s="39">
        <v>1</v>
      </c>
      <c r="E44" s="42">
        <v>23777.81</v>
      </c>
      <c r="F44" s="43">
        <f t="shared" ca="1" si="1"/>
        <v>23777.81</v>
      </c>
    </row>
    <row r="45" spans="1:6" ht="32.25" customHeight="1" x14ac:dyDescent="0.25">
      <c r="A45" s="39" t="s">
        <v>51</v>
      </c>
      <c r="B45" s="40" t="str">
        <f ca="1">IFERROR(INDEX(UNSPSCDes,MATCH(INDIRECT(ADDRESS(ROW(),COLUMN()-1,4)),UNSPSCCode,0)),IF(INDIRECT(ADDRESS(ROW(),COLUMN()-1,4))="41106204","Medio agar embotellado o en bandas para bacterias",""))</f>
        <v>Medio agar embotellado o en bandas para bacterias</v>
      </c>
      <c r="C45" s="41" t="str">
        <f>IFERROR(VLOOKUP("UD",'[1]Informacion '!P:Q,2,FALSE),"")</f>
        <v>Unidad</v>
      </c>
      <c r="D45" s="39">
        <v>3</v>
      </c>
      <c r="E45" s="42">
        <v>3310</v>
      </c>
      <c r="F45" s="43">
        <f t="shared" ca="1" si="1"/>
        <v>9930</v>
      </c>
    </row>
    <row r="46" spans="1:6" ht="39" customHeight="1" x14ac:dyDescent="0.25">
      <c r="A46" s="39" t="s">
        <v>52</v>
      </c>
      <c r="B46" s="40"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6" s="41" t="str">
        <f>IFERROR(VLOOKUP("UD",'[1]Informacion '!P:Q,2,FALSE),"")</f>
        <v>Unidad</v>
      </c>
      <c r="D46" s="39">
        <v>20</v>
      </c>
      <c r="E46" s="42">
        <v>211</v>
      </c>
      <c r="F46" s="43">
        <f t="shared" ca="1" si="1"/>
        <v>4220</v>
      </c>
    </row>
    <row r="47" spans="1:6" ht="35.25" customHeight="1" x14ac:dyDescent="0.25">
      <c r="A47" s="39" t="s">
        <v>52</v>
      </c>
      <c r="B47" s="40"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7" s="41" t="str">
        <f>IFERROR(VLOOKUP("UD",'[1]Informacion '!P:Q,2,FALSE),"")</f>
        <v>Unidad</v>
      </c>
      <c r="D47" s="39">
        <v>20</v>
      </c>
      <c r="E47" s="42">
        <v>215</v>
      </c>
      <c r="F47" s="43">
        <f t="shared" ca="1" si="1"/>
        <v>4300</v>
      </c>
    </row>
    <row r="48" spans="1:6" ht="36.75" customHeight="1" x14ac:dyDescent="0.25">
      <c r="A48" s="39" t="s">
        <v>52</v>
      </c>
      <c r="B48" s="40"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8" s="41" t="str">
        <f>IFERROR(VLOOKUP("UD",'[1]Informacion '!P:Q,2,FALSE),"")</f>
        <v>Unidad</v>
      </c>
      <c r="D48" s="39">
        <v>20</v>
      </c>
      <c r="E48" s="42">
        <v>221</v>
      </c>
      <c r="F48" s="43">
        <f t="shared" ca="1" si="1"/>
        <v>4420</v>
      </c>
    </row>
    <row r="49" spans="1:6" ht="33" customHeight="1" x14ac:dyDescent="0.25">
      <c r="A49" s="39" t="s">
        <v>51</v>
      </c>
      <c r="B49" s="40" t="str">
        <f ca="1">IFERROR(INDEX(UNSPSCDes,MATCH(INDIRECT(ADDRESS(ROW(),COLUMN()-1,4)),UNSPSCCode,0)),IF(INDIRECT(ADDRESS(ROW(),COLUMN()-1,4))="41106204","Medio agar embotellado o en bandas para bacterias",""))</f>
        <v>Medio agar embotellado o en bandas para bacterias</v>
      </c>
      <c r="C49" s="41" t="str">
        <f>IFERROR(VLOOKUP("UD",'[1]Informacion '!P:Q,2,FALSE),"")</f>
        <v>Unidad</v>
      </c>
      <c r="D49" s="39">
        <v>3</v>
      </c>
      <c r="E49" s="42">
        <v>3300</v>
      </c>
      <c r="F49" s="43">
        <f t="shared" ca="1" si="1"/>
        <v>9900</v>
      </c>
    </row>
    <row r="50" spans="1:6" ht="33" customHeight="1" x14ac:dyDescent="0.25">
      <c r="A50" s="39" t="s">
        <v>51</v>
      </c>
      <c r="B50" s="40" t="str">
        <f ca="1">IFERROR(INDEX(UNSPSCDes,MATCH(INDIRECT(ADDRESS(ROW(),COLUMN()-1,4)),UNSPSCCode,0)),IF(INDIRECT(ADDRESS(ROW(),COLUMN()-1,4))="41106204","Medio agar embotellado o en bandas para bacterias",""))</f>
        <v>Medio agar embotellado o en bandas para bacterias</v>
      </c>
      <c r="C50" s="41" t="str">
        <f>IFERROR(VLOOKUP("UD",'[1]Informacion '!P:Q,2,FALSE),"")</f>
        <v>Unidad</v>
      </c>
      <c r="D50" s="39">
        <v>3</v>
      </c>
      <c r="E50" s="42">
        <v>3260</v>
      </c>
      <c r="F50" s="43">
        <f t="shared" ca="1" si="1"/>
        <v>9780</v>
      </c>
    </row>
    <row r="51" spans="1:6" ht="30.75" customHeight="1" x14ac:dyDescent="0.25">
      <c r="A51" s="39" t="s">
        <v>51</v>
      </c>
      <c r="B51" s="40" t="str">
        <f ca="1">IFERROR(INDEX(UNSPSCDes,MATCH(INDIRECT(ADDRESS(ROW(),COLUMN()-1,4)),UNSPSCCode,0)),IF(INDIRECT(ADDRESS(ROW(),COLUMN()-1,4))="41106204","Medio agar embotellado o en bandas para bacterias",""))</f>
        <v>Medio agar embotellado o en bandas para bacterias</v>
      </c>
      <c r="C51" s="41" t="str">
        <f>IFERROR(VLOOKUP("UD",'[1]Informacion '!P:Q,2,FALSE),"")</f>
        <v>Unidad</v>
      </c>
      <c r="D51" s="39">
        <v>2</v>
      </c>
      <c r="E51" s="42">
        <v>4200</v>
      </c>
      <c r="F51" s="43">
        <f t="shared" ca="1" si="1"/>
        <v>8400</v>
      </c>
    </row>
    <row r="52" spans="1:6" ht="32.25" customHeight="1" x14ac:dyDescent="0.25">
      <c r="A52" s="39" t="s">
        <v>51</v>
      </c>
      <c r="B52" s="40" t="str">
        <f ca="1">IFERROR(INDEX(UNSPSCDes,MATCH(INDIRECT(ADDRESS(ROW(),COLUMN()-1,4)),UNSPSCCode,0)),IF(INDIRECT(ADDRESS(ROW(),COLUMN()-1,4))="41106204","Medio agar embotellado o en bandas para bacterias",""))</f>
        <v>Medio agar embotellado o en bandas para bacterias</v>
      </c>
      <c r="C52" s="41" t="str">
        <f>IFERROR(VLOOKUP("UD",'[1]Informacion '!P:Q,2,FALSE),"")</f>
        <v>Unidad</v>
      </c>
      <c r="D52" s="39">
        <v>3</v>
      </c>
      <c r="E52" s="42">
        <v>2250</v>
      </c>
      <c r="F52" s="43">
        <f t="shared" ca="1" si="1"/>
        <v>6750</v>
      </c>
    </row>
    <row r="53" spans="1:6" ht="30.75" customHeight="1" x14ac:dyDescent="0.25">
      <c r="A53" s="39" t="s">
        <v>52</v>
      </c>
      <c r="B53" s="40" t="str">
        <f t="shared" ref="B53:B60" ca="1" si="2">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53" s="41" t="str">
        <f>IFERROR(VLOOKUP("UD",'[1]Informacion '!P:Q,2,FALSE),"")</f>
        <v>Unidad</v>
      </c>
      <c r="D53" s="39">
        <v>20</v>
      </c>
      <c r="E53" s="42">
        <v>221</v>
      </c>
      <c r="F53" s="43">
        <f t="shared" ca="1" si="1"/>
        <v>4420</v>
      </c>
    </row>
    <row r="54" spans="1:6" ht="34.5" customHeight="1" x14ac:dyDescent="0.25">
      <c r="A54" s="39" t="s">
        <v>52</v>
      </c>
      <c r="B54" s="40" t="str">
        <f t="shared" ca="1" si="2"/>
        <v>Discos o paneles de identificación o sensibilidad para microbiología o bacteriología</v>
      </c>
      <c r="C54" s="41" t="str">
        <f>IFERROR(VLOOKUP("UD",'[1]Informacion '!P:Q,2,FALSE),"")</f>
        <v>Unidad</v>
      </c>
      <c r="D54" s="39">
        <v>20</v>
      </c>
      <c r="E54" s="42">
        <v>221</v>
      </c>
      <c r="F54" s="43">
        <f t="shared" ca="1" si="1"/>
        <v>4420</v>
      </c>
    </row>
    <row r="55" spans="1:6" ht="39.75" customHeight="1" x14ac:dyDescent="0.25">
      <c r="A55" s="39" t="s">
        <v>52</v>
      </c>
      <c r="B55" s="40" t="str">
        <f t="shared" ca="1" si="2"/>
        <v>Discos o paneles de identificación o sensibilidad para microbiología o bacteriología</v>
      </c>
      <c r="C55" s="41" t="str">
        <f>IFERROR(VLOOKUP("UD",'[1]Informacion '!P:Q,2,FALSE),"")</f>
        <v>Unidad</v>
      </c>
      <c r="D55" s="39">
        <v>20</v>
      </c>
      <c r="E55" s="42">
        <v>288.2</v>
      </c>
      <c r="F55" s="43">
        <f t="shared" ca="1" si="1"/>
        <v>5764</v>
      </c>
    </row>
    <row r="56" spans="1:6" ht="33" customHeight="1" x14ac:dyDescent="0.25">
      <c r="A56" s="39" t="s">
        <v>52</v>
      </c>
      <c r="B56" s="40" t="str">
        <f t="shared" ca="1" si="2"/>
        <v>Discos o paneles de identificación o sensibilidad para microbiología o bacteriología</v>
      </c>
      <c r="C56" s="41" t="str">
        <f>IFERROR(VLOOKUP("UD",'[1]Informacion '!P:Q,2,FALSE),"")</f>
        <v>Unidad</v>
      </c>
      <c r="D56" s="39">
        <v>20</v>
      </c>
      <c r="E56" s="42">
        <v>229</v>
      </c>
      <c r="F56" s="43">
        <f t="shared" ca="1" si="1"/>
        <v>4580</v>
      </c>
    </row>
    <row r="57" spans="1:6" ht="33.75" customHeight="1" x14ac:dyDescent="0.25">
      <c r="A57" s="39" t="s">
        <v>52</v>
      </c>
      <c r="B57" s="40" t="str">
        <f t="shared" ca="1" si="2"/>
        <v>Discos o paneles de identificación o sensibilidad para microbiología o bacteriología</v>
      </c>
      <c r="C57" s="41" t="str">
        <f>IFERROR(VLOOKUP("UD",'[1]Informacion '!P:Q,2,FALSE),"")</f>
        <v>Unidad</v>
      </c>
      <c r="D57" s="39">
        <v>20</v>
      </c>
      <c r="E57" s="42">
        <v>230</v>
      </c>
      <c r="F57" s="43">
        <f t="shared" ca="1" si="1"/>
        <v>4600</v>
      </c>
    </row>
    <row r="58" spans="1:6" ht="42" customHeight="1" x14ac:dyDescent="0.25">
      <c r="A58" s="39" t="s">
        <v>52</v>
      </c>
      <c r="B58" s="40" t="str">
        <f t="shared" ca="1" si="2"/>
        <v>Discos o paneles de identificación o sensibilidad para microbiología o bacteriología</v>
      </c>
      <c r="C58" s="41" t="str">
        <f>IFERROR(VLOOKUP("UD",'[1]Informacion '!P:Q,2,FALSE),"")</f>
        <v>Unidad</v>
      </c>
      <c r="D58" s="39">
        <v>20</v>
      </c>
      <c r="E58" s="42">
        <v>237</v>
      </c>
      <c r="F58" s="43">
        <f t="shared" ca="1" si="1"/>
        <v>4740</v>
      </c>
    </row>
    <row r="59" spans="1:6" ht="33.75" customHeight="1" x14ac:dyDescent="0.25">
      <c r="A59" s="39" t="s">
        <v>52</v>
      </c>
      <c r="B59" s="40" t="str">
        <f t="shared" ca="1" si="2"/>
        <v>Discos o paneles de identificación o sensibilidad para microbiología o bacteriología</v>
      </c>
      <c r="C59" s="41" t="str">
        <f>IFERROR(VLOOKUP("UD",'[1]Informacion '!P:Q,2,FALSE),"")</f>
        <v>Unidad</v>
      </c>
      <c r="D59" s="39">
        <v>20</v>
      </c>
      <c r="E59" s="42">
        <v>245</v>
      </c>
      <c r="F59" s="43">
        <f t="shared" ca="1" si="1"/>
        <v>4900</v>
      </c>
    </row>
    <row r="60" spans="1:6" ht="36" customHeight="1" x14ac:dyDescent="0.25">
      <c r="A60" s="39" t="s">
        <v>52</v>
      </c>
      <c r="B60" s="40" t="str">
        <f t="shared" ca="1" si="2"/>
        <v>Discos o paneles de identificación o sensibilidad para microbiología o bacteriología</v>
      </c>
      <c r="C60" s="41" t="str">
        <f>IFERROR(VLOOKUP("UD",'[1]Informacion '!P:Q,2,FALSE),"")</f>
        <v>Unidad</v>
      </c>
      <c r="D60" s="39">
        <v>20</v>
      </c>
      <c r="E60" s="42">
        <v>228</v>
      </c>
      <c r="F60" s="43">
        <f t="shared" ca="1" si="1"/>
        <v>4560</v>
      </c>
    </row>
    <row r="61" spans="1:6" ht="37.5" customHeight="1" x14ac:dyDescent="0.25">
      <c r="A61" s="39" t="s">
        <v>53</v>
      </c>
      <c r="B61" s="40" t="str">
        <f ca="1">IFERROR(INDEX(UNSPSCDes,MATCH(INDIRECT(ADDRESS(ROW(),COLUMN()-1,4)),UNSPSCCode,0)),IF(INDIRECT(ADDRESS(ROW(),COLUMN()-1,4))="41116130","Reactivos o soluciones o tinturas para microbiología o bacteriología",""))</f>
        <v>Reactivos o soluciones o tinturas para microbiología o bacteriología</v>
      </c>
      <c r="C61" s="41" t="str">
        <f>IFERROR(VLOOKUP("UD",'[1]Informacion '!P:Q,2,FALSE),"")</f>
        <v>Unidad</v>
      </c>
      <c r="D61" s="39">
        <v>2</v>
      </c>
      <c r="E61" s="42">
        <v>6890</v>
      </c>
      <c r="F61" s="43">
        <f t="shared" ca="1" si="1"/>
        <v>13780</v>
      </c>
    </row>
    <row r="62" spans="1:6" ht="36.75" customHeight="1" x14ac:dyDescent="0.25">
      <c r="A62" s="39" t="s">
        <v>53</v>
      </c>
      <c r="B62" s="40" t="str">
        <f ca="1">IFERROR(INDEX(UNSPSCDes,MATCH(INDIRECT(ADDRESS(ROW(),COLUMN()-1,4)),UNSPSCCode,0)),IF(INDIRECT(ADDRESS(ROW(),COLUMN()-1,4))="41116130","Reactivos o soluciones o tinturas para microbiología o bacteriología",""))</f>
        <v>Reactivos o soluciones o tinturas para microbiología o bacteriología</v>
      </c>
      <c r="C62" s="41" t="str">
        <f>IFERROR(VLOOKUP("RESMA",'[1]Informacion '!P:Q,2,FALSE),"")</f>
        <v>Resma</v>
      </c>
      <c r="D62" s="39">
        <v>3</v>
      </c>
      <c r="E62" s="42">
        <v>3330</v>
      </c>
      <c r="F62" s="43">
        <f t="shared" ca="1" si="1"/>
        <v>9990</v>
      </c>
    </row>
    <row r="63" spans="1:6" ht="33.75" x14ac:dyDescent="0.25">
      <c r="A63" s="39" t="s">
        <v>50</v>
      </c>
      <c r="B63" s="40" t="str">
        <f ca="1">IFERROR(INDEX(UNSPSCDes,MATCH(INDIRECT(ADDRESS(ROW(),COLUMN()-1,4)),UNSPSCCode,0)),IF(INDIRECT(ADDRESS(ROW(),COLUMN()-1,4))="41116008","Reactivos analizadores de hematología",""))</f>
        <v>Reactivos analizadores de hematología</v>
      </c>
      <c r="C63" s="41" t="str">
        <f>IFERROR(VLOOKUP("UD",'[1]Informacion '!P:Q,2,FALSE),"")</f>
        <v>Unidad</v>
      </c>
      <c r="D63" s="39">
        <v>2</v>
      </c>
      <c r="E63" s="42">
        <v>20174</v>
      </c>
      <c r="F63" s="43">
        <f t="shared" ca="1" si="1"/>
        <v>40348</v>
      </c>
    </row>
    <row r="64" spans="1:6" ht="33.75" x14ac:dyDescent="0.25">
      <c r="A64" s="39" t="s">
        <v>50</v>
      </c>
      <c r="B64" s="40" t="str">
        <f ca="1">IFERROR(INDEX(UNSPSCDes,MATCH(INDIRECT(ADDRESS(ROW(),COLUMN()-1,4)),UNSPSCCode,0)),IF(INDIRECT(ADDRESS(ROW(),COLUMN()-1,4))="41116008","Reactivos analizadores de hematología",""))</f>
        <v>Reactivos analizadores de hematología</v>
      </c>
      <c r="C64" s="41" t="str">
        <f>IFERROR(VLOOKUP("UD",'[1]Informacion '!P:Q,2,FALSE),"")</f>
        <v>Unidad</v>
      </c>
      <c r="D64" s="39">
        <v>15</v>
      </c>
      <c r="E64" s="42">
        <v>303.60000000000002</v>
      </c>
      <c r="F64" s="43">
        <f t="shared" ca="1" si="1"/>
        <v>4554</v>
      </c>
    </row>
    <row r="65" spans="1:6" ht="33.75" x14ac:dyDescent="0.25">
      <c r="A65" s="39" t="s">
        <v>54</v>
      </c>
      <c r="B65" s="40" t="str">
        <f t="shared" ref="B65:B82" ca="1" si="3">IFERROR(INDEX(UNSPSCDes,MATCH(INDIRECT(ADDRESS(ROW(),COLUMN()-1,4)),UNSPSCCode,0)),IF(INDIRECT(ADDRESS(ROW(),COLUMN()-1,4))="41116004","Reactivos analizadores de química",""))</f>
        <v>Reactivos analizadores de química</v>
      </c>
      <c r="C65" s="41" t="str">
        <f>IFERROR(VLOOKUP("UD",'[1]Informacion '!P:Q,2,FALSE),"")</f>
        <v>Unidad</v>
      </c>
      <c r="D65" s="39">
        <v>10</v>
      </c>
      <c r="E65" s="42">
        <v>2376</v>
      </c>
      <c r="F65" s="43">
        <f t="shared" ca="1" si="1"/>
        <v>23760</v>
      </c>
    </row>
    <row r="66" spans="1:6" ht="33.75" x14ac:dyDescent="0.25">
      <c r="A66" s="39" t="s">
        <v>54</v>
      </c>
      <c r="B66" s="40" t="str">
        <f t="shared" ca="1" si="3"/>
        <v>Reactivos analizadores de química</v>
      </c>
      <c r="C66" s="41" t="str">
        <f>IFERROR(VLOOKUP("UD",'[1]Informacion '!P:Q,2,FALSE),"")</f>
        <v>Unidad</v>
      </c>
      <c r="D66" s="39">
        <v>6</v>
      </c>
      <c r="E66" s="42">
        <v>2166</v>
      </c>
      <c r="F66" s="43">
        <f t="shared" ca="1" si="1"/>
        <v>12996</v>
      </c>
    </row>
    <row r="67" spans="1:6" ht="33.75" x14ac:dyDescent="0.25">
      <c r="A67" s="39" t="s">
        <v>54</v>
      </c>
      <c r="B67" s="40" t="str">
        <f t="shared" ca="1" si="3"/>
        <v>Reactivos analizadores de química</v>
      </c>
      <c r="C67" s="41" t="str">
        <f>IFERROR(VLOOKUP("UD",'[1]Informacion '!P:Q,2,FALSE),"")</f>
        <v>Unidad</v>
      </c>
      <c r="D67" s="39">
        <v>16</v>
      </c>
      <c r="E67" s="42">
        <v>4370</v>
      </c>
      <c r="F67" s="43">
        <f t="shared" ca="1" si="1"/>
        <v>69920</v>
      </c>
    </row>
    <row r="68" spans="1:6" ht="33.75" x14ac:dyDescent="0.25">
      <c r="A68" s="39" t="s">
        <v>54</v>
      </c>
      <c r="B68" s="40" t="str">
        <f t="shared" ca="1" si="3"/>
        <v>Reactivos analizadores de química</v>
      </c>
      <c r="C68" s="41" t="str">
        <f>IFERROR(VLOOKUP("UD",'[1]Informacion '!P:Q,2,FALSE),"")</f>
        <v>Unidad</v>
      </c>
      <c r="D68" s="39">
        <v>10</v>
      </c>
      <c r="E68" s="42">
        <v>2454</v>
      </c>
      <c r="F68" s="43">
        <f t="shared" ca="1" si="1"/>
        <v>24540</v>
      </c>
    </row>
    <row r="69" spans="1:6" ht="33.75" x14ac:dyDescent="0.25">
      <c r="A69" s="39" t="s">
        <v>54</v>
      </c>
      <c r="B69" s="40" t="str">
        <f t="shared" ca="1" si="3"/>
        <v>Reactivos analizadores de química</v>
      </c>
      <c r="C69" s="41" t="str">
        <f>IFERROR(VLOOKUP("UD",'[1]Informacion '!P:Q,2,FALSE),"")</f>
        <v>Unidad</v>
      </c>
      <c r="D69" s="39">
        <v>8</v>
      </c>
      <c r="E69" s="42">
        <v>3827</v>
      </c>
      <c r="F69" s="43">
        <f t="shared" ca="1" si="1"/>
        <v>30616</v>
      </c>
    </row>
    <row r="70" spans="1:6" ht="33.75" x14ac:dyDescent="0.25">
      <c r="A70" s="39" t="s">
        <v>54</v>
      </c>
      <c r="B70" s="40" t="str">
        <f t="shared" ca="1" si="3"/>
        <v>Reactivos analizadores de química</v>
      </c>
      <c r="C70" s="41" t="str">
        <f>IFERROR(VLOOKUP("UD",'[1]Informacion '!P:Q,2,FALSE),"")</f>
        <v>Unidad</v>
      </c>
      <c r="D70" s="39">
        <v>25</v>
      </c>
      <c r="E70" s="42">
        <v>1290</v>
      </c>
      <c r="F70" s="43">
        <f t="shared" ca="1" si="1"/>
        <v>32250</v>
      </c>
    </row>
    <row r="71" spans="1:6" ht="33.75" x14ac:dyDescent="0.25">
      <c r="A71" s="39" t="s">
        <v>54</v>
      </c>
      <c r="B71" s="40" t="str">
        <f t="shared" ca="1" si="3"/>
        <v>Reactivos analizadores de química</v>
      </c>
      <c r="C71" s="41" t="str">
        <f>IFERROR(VLOOKUP("UD",'[1]Informacion '!P:Q,2,FALSE),"")</f>
        <v>Unidad</v>
      </c>
      <c r="D71" s="39">
        <v>10</v>
      </c>
      <c r="E71" s="42">
        <v>27000</v>
      </c>
      <c r="F71" s="43">
        <f t="shared" ca="1" si="1"/>
        <v>270000</v>
      </c>
    </row>
    <row r="72" spans="1:6" ht="33.75" x14ac:dyDescent="0.25">
      <c r="A72" s="39" t="s">
        <v>54</v>
      </c>
      <c r="B72" s="40" t="str">
        <f t="shared" ca="1" si="3"/>
        <v>Reactivos analizadores de química</v>
      </c>
      <c r="C72" s="41" t="str">
        <f>IFERROR(VLOOKUP("UD",'[1]Informacion '!P:Q,2,FALSE),"")</f>
        <v>Unidad</v>
      </c>
      <c r="D72" s="39">
        <v>16</v>
      </c>
      <c r="E72" s="42">
        <v>4830</v>
      </c>
      <c r="F72" s="43">
        <f t="shared" ca="1" si="1"/>
        <v>77280</v>
      </c>
    </row>
    <row r="73" spans="1:6" ht="33.75" x14ac:dyDescent="0.25">
      <c r="A73" s="39" t="s">
        <v>54</v>
      </c>
      <c r="B73" s="40" t="str">
        <f t="shared" ca="1" si="3"/>
        <v>Reactivos analizadores de química</v>
      </c>
      <c r="C73" s="41" t="str">
        <f>IFERROR(VLOOKUP("UD",'[1]Informacion '!P:Q,2,FALSE),"")</f>
        <v>Unidad</v>
      </c>
      <c r="D73" s="39">
        <v>7</v>
      </c>
      <c r="E73" s="42">
        <v>6000</v>
      </c>
      <c r="F73" s="43">
        <f t="shared" ca="1" si="1"/>
        <v>42000</v>
      </c>
    </row>
    <row r="74" spans="1:6" ht="33.75" x14ac:dyDescent="0.25">
      <c r="A74" s="39" t="s">
        <v>54</v>
      </c>
      <c r="B74" s="40" t="str">
        <f t="shared" ca="1" si="3"/>
        <v>Reactivos analizadores de química</v>
      </c>
      <c r="C74" s="41" t="str">
        <f>IFERROR(VLOOKUP("UD",'[1]Informacion '!P:Q,2,FALSE),"")</f>
        <v>Unidad</v>
      </c>
      <c r="D74" s="39">
        <v>22</v>
      </c>
      <c r="E74" s="42">
        <v>8740</v>
      </c>
      <c r="F74" s="43">
        <f t="shared" ca="1" si="1"/>
        <v>192280</v>
      </c>
    </row>
    <row r="75" spans="1:6" ht="33.75" x14ac:dyDescent="0.25">
      <c r="A75" s="39" t="s">
        <v>54</v>
      </c>
      <c r="B75" s="40" t="str">
        <f t="shared" ca="1" si="3"/>
        <v>Reactivos analizadores de química</v>
      </c>
      <c r="C75" s="41" t="str">
        <f>IFERROR(VLOOKUP("UD",'[1]Informacion '!P:Q,2,FALSE),"")</f>
        <v>Unidad</v>
      </c>
      <c r="D75" s="39">
        <v>16</v>
      </c>
      <c r="E75" s="42">
        <v>5290</v>
      </c>
      <c r="F75" s="43">
        <f t="shared" ca="1" si="1"/>
        <v>84640</v>
      </c>
    </row>
    <row r="76" spans="1:6" ht="33.75" x14ac:dyDescent="0.25">
      <c r="A76" s="39" t="s">
        <v>54</v>
      </c>
      <c r="B76" s="40" t="str">
        <f t="shared" ca="1" si="3"/>
        <v>Reactivos analizadores de química</v>
      </c>
      <c r="C76" s="41" t="str">
        <f>IFERROR(VLOOKUP("UD",'[1]Informacion '!P:Q,2,FALSE),"")</f>
        <v>Unidad</v>
      </c>
      <c r="D76" s="39">
        <v>16</v>
      </c>
      <c r="E76" s="42">
        <v>5750</v>
      </c>
      <c r="F76" s="43">
        <f t="shared" ca="1" si="1"/>
        <v>92000</v>
      </c>
    </row>
    <row r="77" spans="1:6" ht="33.75" x14ac:dyDescent="0.25">
      <c r="A77" s="39" t="s">
        <v>54</v>
      </c>
      <c r="B77" s="40" t="str">
        <f t="shared" ca="1" si="3"/>
        <v>Reactivos analizadores de química</v>
      </c>
      <c r="C77" s="41" t="str">
        <f>IFERROR(VLOOKUP("UD",'[1]Informacion '!P:Q,2,FALSE),"")</f>
        <v>Unidad</v>
      </c>
      <c r="D77" s="39">
        <v>7</v>
      </c>
      <c r="E77" s="42">
        <v>10203</v>
      </c>
      <c r="F77" s="43">
        <f t="shared" ca="1" si="1"/>
        <v>71421</v>
      </c>
    </row>
    <row r="78" spans="1:6" ht="33.75" x14ac:dyDescent="0.25">
      <c r="A78" s="39" t="s">
        <v>54</v>
      </c>
      <c r="B78" s="40" t="str">
        <f t="shared" ca="1" si="3"/>
        <v>Reactivos analizadores de química</v>
      </c>
      <c r="C78" s="41" t="str">
        <f>IFERROR(VLOOKUP("UD",'[1]Informacion '!P:Q,2,FALSE),"")</f>
        <v>Unidad</v>
      </c>
      <c r="D78" s="39">
        <v>10</v>
      </c>
      <c r="E78" s="42">
        <v>7221</v>
      </c>
      <c r="F78" s="43">
        <f t="shared" ca="1" si="1"/>
        <v>72210</v>
      </c>
    </row>
    <row r="79" spans="1:6" ht="33.75" x14ac:dyDescent="0.25">
      <c r="A79" s="39" t="s">
        <v>54</v>
      </c>
      <c r="B79" s="40" t="str">
        <f t="shared" ca="1" si="3"/>
        <v>Reactivos analizadores de química</v>
      </c>
      <c r="C79" s="41" t="str">
        <f>IFERROR(VLOOKUP("UD",'[1]Informacion '!P:Q,2,FALSE),"")</f>
        <v>Unidad</v>
      </c>
      <c r="D79" s="39">
        <v>10</v>
      </c>
      <c r="E79" s="42">
        <v>7221</v>
      </c>
      <c r="F79" s="43">
        <f t="shared" ca="1" si="1"/>
        <v>72210</v>
      </c>
    </row>
    <row r="80" spans="1:6" ht="33.75" x14ac:dyDescent="0.25">
      <c r="A80" s="39" t="s">
        <v>54</v>
      </c>
      <c r="B80" s="40" t="str">
        <f t="shared" ca="1" si="3"/>
        <v>Reactivos analizadores de química</v>
      </c>
      <c r="C80" s="41" t="str">
        <f>IFERROR(VLOOKUP("UD",'[1]Informacion '!P:Q,2,FALSE),"")</f>
        <v>Unidad</v>
      </c>
      <c r="D80" s="39">
        <v>12</v>
      </c>
      <c r="E80" s="42">
        <v>7956</v>
      </c>
      <c r="F80" s="43">
        <f t="shared" ca="1" si="1"/>
        <v>95472</v>
      </c>
    </row>
    <row r="81" spans="1:6" ht="33.75" x14ac:dyDescent="0.25">
      <c r="A81" s="39" t="s">
        <v>54</v>
      </c>
      <c r="B81" s="40" t="str">
        <f t="shared" ca="1" si="3"/>
        <v>Reactivos analizadores de química</v>
      </c>
      <c r="C81" s="41" t="str">
        <f>IFERROR(VLOOKUP("UD",'[1]Informacion '!P:Q,2,FALSE),"")</f>
        <v>Unidad</v>
      </c>
      <c r="D81" s="39">
        <v>80</v>
      </c>
      <c r="E81" s="42">
        <v>3495</v>
      </c>
      <c r="F81" s="43">
        <f t="shared" ca="1" si="1"/>
        <v>279600</v>
      </c>
    </row>
    <row r="82" spans="1:6" ht="33.75" x14ac:dyDescent="0.25">
      <c r="A82" s="39" t="s">
        <v>54</v>
      </c>
      <c r="B82" s="40" t="str">
        <f t="shared" ca="1" si="3"/>
        <v>Reactivos analizadores de química</v>
      </c>
      <c r="C82" s="41" t="str">
        <f>IFERROR(VLOOKUP("UD",'[1]Informacion '!P:Q,2,FALSE),"")</f>
        <v>Unidad</v>
      </c>
      <c r="D82" s="39">
        <v>40</v>
      </c>
      <c r="E82" s="42">
        <v>5290</v>
      </c>
      <c r="F82" s="43">
        <f t="shared" ca="1" si="1"/>
        <v>211600</v>
      </c>
    </row>
    <row r="83" spans="1:6" ht="34.5" customHeight="1" x14ac:dyDescent="0.25">
      <c r="A83" s="39" t="s">
        <v>55</v>
      </c>
      <c r="B83" s="40" t="str">
        <f ca="1">IFERROR(INDEX(UNSPSCDes,MATCH(INDIRECT(ADDRESS(ROW(),COLUMN()-1,4)),UNSPSCCode,0)),IF(INDIRECT(ADDRESS(ROW(),COLUMN()-1,4))="41116107","Controles de calidad o calibradores o estándares químicos",""))</f>
        <v>Controles de calidad o calibradores o estándares químicos</v>
      </c>
      <c r="C83" s="41" t="str">
        <f>IFERROR(VLOOKUP("UD",'[1]Informacion '!P:Q,2,FALSE),"")</f>
        <v>Unidad</v>
      </c>
      <c r="D83" s="39">
        <v>14</v>
      </c>
      <c r="E83" s="42">
        <v>596.85</v>
      </c>
      <c r="F83" s="43">
        <f t="shared" ca="1" si="1"/>
        <v>8355.9</v>
      </c>
    </row>
    <row r="84" spans="1:6" ht="32.25" customHeight="1" x14ac:dyDescent="0.25">
      <c r="A84" s="39" t="s">
        <v>55</v>
      </c>
      <c r="B84" s="40" t="str">
        <f ca="1">IFERROR(INDEX(UNSPSCDes,MATCH(INDIRECT(ADDRESS(ROW(),COLUMN()-1,4)),UNSPSCCode,0)),IF(INDIRECT(ADDRESS(ROW(),COLUMN()-1,4))="41116107","Controles de calidad o calibradores o estándares químicos",""))</f>
        <v>Controles de calidad o calibradores o estándares químicos</v>
      </c>
      <c r="C84" s="41" t="str">
        <f>IFERROR(VLOOKUP("UD",'[1]Informacion '!P:Q,2,FALSE),"")</f>
        <v>Unidad</v>
      </c>
      <c r="D84" s="39">
        <v>14</v>
      </c>
      <c r="E84" s="42">
        <v>596.85</v>
      </c>
      <c r="F84" s="43">
        <f t="shared" ca="1" si="1"/>
        <v>8355.9</v>
      </c>
    </row>
    <row r="85" spans="1:6" ht="33.75" x14ac:dyDescent="0.25">
      <c r="A85" s="39" t="s">
        <v>54</v>
      </c>
      <c r="B85" s="40" t="str">
        <f t="shared" ref="B85:B100" ca="1" si="4">IFERROR(INDEX(UNSPSCDes,MATCH(INDIRECT(ADDRESS(ROW(),COLUMN()-1,4)),UNSPSCCode,0)),IF(INDIRECT(ADDRESS(ROW(),COLUMN()-1,4))="41116004","Reactivos analizadores de química",""))</f>
        <v>Reactivos analizadores de química</v>
      </c>
      <c r="C85" s="41" t="str">
        <f>IFERROR(VLOOKUP("UD",'[1]Informacion '!P:Q,2,FALSE),"")</f>
        <v>Unidad</v>
      </c>
      <c r="D85" s="39">
        <v>4</v>
      </c>
      <c r="E85" s="42">
        <v>9504</v>
      </c>
      <c r="F85" s="43">
        <f t="shared" ca="1" si="1"/>
        <v>38016</v>
      </c>
    </row>
    <row r="86" spans="1:6" ht="33.75" x14ac:dyDescent="0.25">
      <c r="A86" s="39" t="s">
        <v>54</v>
      </c>
      <c r="B86" s="40" t="str">
        <f t="shared" ca="1" si="4"/>
        <v>Reactivos analizadores de química</v>
      </c>
      <c r="C86" s="41" t="str">
        <f>IFERROR(VLOOKUP("UD",'[1]Informacion '!P:Q,2,FALSE),"")</f>
        <v>Unidad</v>
      </c>
      <c r="D86" s="39">
        <v>6</v>
      </c>
      <c r="E86" s="42">
        <v>788</v>
      </c>
      <c r="F86" s="43">
        <f t="shared" ca="1" si="1"/>
        <v>4728</v>
      </c>
    </row>
    <row r="87" spans="1:6" ht="33.75" x14ac:dyDescent="0.25">
      <c r="A87" s="39" t="s">
        <v>54</v>
      </c>
      <c r="B87" s="40" t="str">
        <f t="shared" ca="1" si="4"/>
        <v>Reactivos analizadores de química</v>
      </c>
      <c r="C87" s="41" t="str">
        <f>IFERROR(VLOOKUP("UD",'[1]Informacion '!P:Q,2,FALSE),"")</f>
        <v>Unidad</v>
      </c>
      <c r="D87" s="39">
        <v>10</v>
      </c>
      <c r="E87" s="42">
        <v>8970</v>
      </c>
      <c r="F87" s="43">
        <f t="shared" ca="1" si="1"/>
        <v>89700</v>
      </c>
    </row>
    <row r="88" spans="1:6" ht="33.75" x14ac:dyDescent="0.25">
      <c r="A88" s="39" t="s">
        <v>54</v>
      </c>
      <c r="B88" s="40" t="str">
        <f t="shared" ca="1" si="4"/>
        <v>Reactivos analizadores de química</v>
      </c>
      <c r="C88" s="41" t="str">
        <f>IFERROR(VLOOKUP("UD",'[1]Informacion '!P:Q,2,FALSE),"")</f>
        <v>Unidad</v>
      </c>
      <c r="D88" s="39">
        <v>1</v>
      </c>
      <c r="E88" s="42">
        <v>2835</v>
      </c>
      <c r="F88" s="43">
        <f t="shared" ca="1" si="1"/>
        <v>2835</v>
      </c>
    </row>
    <row r="89" spans="1:6" ht="33.75" x14ac:dyDescent="0.25">
      <c r="A89" s="39" t="s">
        <v>54</v>
      </c>
      <c r="B89" s="40" t="str">
        <f t="shared" ca="1" si="4"/>
        <v>Reactivos analizadores de química</v>
      </c>
      <c r="C89" s="41" t="str">
        <f>IFERROR(VLOOKUP("UD",'[1]Informacion '!P:Q,2,FALSE),"")</f>
        <v>Unidad</v>
      </c>
      <c r="D89" s="39">
        <v>1</v>
      </c>
      <c r="E89" s="42">
        <v>2319</v>
      </c>
      <c r="F89" s="43">
        <f t="shared" ca="1" si="1"/>
        <v>2319</v>
      </c>
    </row>
    <row r="90" spans="1:6" ht="33.75" x14ac:dyDescent="0.25">
      <c r="A90" s="39" t="s">
        <v>54</v>
      </c>
      <c r="B90" s="40" t="str">
        <f t="shared" ca="1" si="4"/>
        <v>Reactivos analizadores de química</v>
      </c>
      <c r="C90" s="41" t="str">
        <f>IFERROR(VLOOKUP("UD",'[1]Informacion '!P:Q,2,FALSE),"")</f>
        <v>Unidad</v>
      </c>
      <c r="D90" s="39">
        <v>6</v>
      </c>
      <c r="E90" s="42">
        <v>1380</v>
      </c>
      <c r="F90" s="43">
        <f t="shared" ca="1" si="1"/>
        <v>8280</v>
      </c>
    </row>
    <row r="91" spans="1:6" ht="33.75" x14ac:dyDescent="0.25">
      <c r="A91" s="39" t="s">
        <v>54</v>
      </c>
      <c r="B91" s="40" t="str">
        <f t="shared" ca="1" si="4"/>
        <v>Reactivos analizadores de química</v>
      </c>
      <c r="C91" s="41" t="str">
        <f>IFERROR(VLOOKUP("UD",'[1]Informacion '!P:Q,2,FALSE),"")</f>
        <v>Unidad</v>
      </c>
      <c r="D91" s="39">
        <v>6</v>
      </c>
      <c r="E91" s="42">
        <v>10350</v>
      </c>
      <c r="F91" s="43">
        <f t="shared" ca="1" si="1"/>
        <v>62100</v>
      </c>
    </row>
    <row r="92" spans="1:6" ht="33.75" x14ac:dyDescent="0.25">
      <c r="A92" s="39" t="s">
        <v>54</v>
      </c>
      <c r="B92" s="40" t="str">
        <f t="shared" ca="1" si="4"/>
        <v>Reactivos analizadores de química</v>
      </c>
      <c r="C92" s="41" t="str">
        <f>IFERROR(VLOOKUP("UD",'[1]Informacion '!P:Q,2,FALSE),"")</f>
        <v>Unidad</v>
      </c>
      <c r="D92" s="39">
        <v>3</v>
      </c>
      <c r="E92" s="42">
        <v>4275</v>
      </c>
      <c r="F92" s="43">
        <f t="shared" ca="1" si="1"/>
        <v>12825</v>
      </c>
    </row>
    <row r="93" spans="1:6" ht="33.75" x14ac:dyDescent="0.25">
      <c r="A93" s="39" t="s">
        <v>54</v>
      </c>
      <c r="B93" s="40" t="str">
        <f t="shared" ca="1" si="4"/>
        <v>Reactivos analizadores de química</v>
      </c>
      <c r="C93" s="41" t="str">
        <f>IFERROR(VLOOKUP("UD",'[1]Informacion '!P:Q,2,FALSE),"")</f>
        <v>Unidad</v>
      </c>
      <c r="D93" s="39">
        <v>13</v>
      </c>
      <c r="E93" s="42">
        <v>320</v>
      </c>
      <c r="F93" s="43">
        <f t="shared" ca="1" si="1"/>
        <v>4160</v>
      </c>
    </row>
    <row r="94" spans="1:6" ht="33.75" x14ac:dyDescent="0.25">
      <c r="A94" s="39" t="s">
        <v>54</v>
      </c>
      <c r="B94" s="40" t="str">
        <f t="shared" ca="1" si="4"/>
        <v>Reactivos analizadores de química</v>
      </c>
      <c r="C94" s="41" t="str">
        <f>IFERROR(VLOOKUP("UD",'[1]Informacion '!P:Q,2,FALSE),"")</f>
        <v>Unidad</v>
      </c>
      <c r="D94" s="39">
        <v>7</v>
      </c>
      <c r="E94" s="42">
        <v>862</v>
      </c>
      <c r="F94" s="43">
        <f t="shared" ca="1" si="1"/>
        <v>6034</v>
      </c>
    </row>
    <row r="95" spans="1:6" ht="33.75" x14ac:dyDescent="0.25">
      <c r="A95" s="39" t="s">
        <v>54</v>
      </c>
      <c r="B95" s="40" t="str">
        <f t="shared" ca="1" si="4"/>
        <v>Reactivos analizadores de química</v>
      </c>
      <c r="C95" s="41" t="str">
        <f>IFERROR(VLOOKUP("UD",'[1]Informacion '!P:Q,2,FALSE),"")</f>
        <v>Unidad</v>
      </c>
      <c r="D95" s="39">
        <v>7</v>
      </c>
      <c r="E95" s="42">
        <v>862</v>
      </c>
      <c r="F95" s="43">
        <f t="shared" ca="1" si="1"/>
        <v>6034</v>
      </c>
    </row>
    <row r="96" spans="1:6" ht="33.75" x14ac:dyDescent="0.25">
      <c r="A96" s="39" t="s">
        <v>54</v>
      </c>
      <c r="B96" s="40" t="str">
        <f t="shared" ca="1" si="4"/>
        <v>Reactivos analizadores de química</v>
      </c>
      <c r="C96" s="41" t="str">
        <f>IFERROR(VLOOKUP("UD",'[1]Informacion '!P:Q,2,FALSE),"")</f>
        <v>Unidad</v>
      </c>
      <c r="D96" s="39">
        <v>4</v>
      </c>
      <c r="E96" s="42">
        <v>9630</v>
      </c>
      <c r="F96" s="43">
        <f t="shared" ca="1" si="1"/>
        <v>38520</v>
      </c>
    </row>
    <row r="97" spans="1:6" ht="33.75" x14ac:dyDescent="0.25">
      <c r="A97" s="39" t="s">
        <v>54</v>
      </c>
      <c r="B97" s="40" t="str">
        <f t="shared" ca="1" si="4"/>
        <v>Reactivos analizadores de química</v>
      </c>
      <c r="C97" s="41" t="str">
        <f>IFERROR(VLOOKUP("UD",'[1]Informacion '!P:Q,2,FALSE),"")</f>
        <v>Unidad</v>
      </c>
      <c r="D97" s="39">
        <v>2</v>
      </c>
      <c r="E97" s="42">
        <v>4034.8</v>
      </c>
      <c r="F97" s="43">
        <f t="shared" ca="1" si="1"/>
        <v>8069.6</v>
      </c>
    </row>
    <row r="98" spans="1:6" ht="33.75" x14ac:dyDescent="0.25">
      <c r="A98" s="39" t="s">
        <v>54</v>
      </c>
      <c r="B98" s="40" t="str">
        <f t="shared" ca="1" si="4"/>
        <v>Reactivos analizadores de química</v>
      </c>
      <c r="C98" s="41" t="str">
        <f>IFERROR(VLOOKUP("UD",'[1]Informacion '!P:Q,2,FALSE),"")</f>
        <v>Unidad</v>
      </c>
      <c r="D98" s="39">
        <v>1</v>
      </c>
      <c r="E98" s="42">
        <v>1310</v>
      </c>
      <c r="F98" s="43">
        <f t="shared" ref="F98:F132" ca="1" si="5">INDIRECT(ADDRESS(ROW(),COLUMN()-2,4))*INDIRECT(ADDRESS(ROW(),COLUMN()-1,4))</f>
        <v>1310</v>
      </c>
    </row>
    <row r="99" spans="1:6" ht="33.75" x14ac:dyDescent="0.25">
      <c r="A99" s="39" t="s">
        <v>54</v>
      </c>
      <c r="B99" s="40" t="str">
        <f t="shared" ca="1" si="4"/>
        <v>Reactivos analizadores de química</v>
      </c>
      <c r="C99" s="41" t="str">
        <f>IFERROR(VLOOKUP("UD",'[1]Informacion '!P:Q,2,FALSE),"")</f>
        <v>Unidad</v>
      </c>
      <c r="D99" s="39">
        <v>26</v>
      </c>
      <c r="E99" s="42">
        <v>142</v>
      </c>
      <c r="F99" s="43">
        <f t="shared" ca="1" si="5"/>
        <v>3692</v>
      </c>
    </row>
    <row r="100" spans="1:6" ht="33.75" x14ac:dyDescent="0.25">
      <c r="A100" s="39" t="s">
        <v>54</v>
      </c>
      <c r="B100" s="40" t="str">
        <f t="shared" ca="1" si="4"/>
        <v>Reactivos analizadores de química</v>
      </c>
      <c r="C100" s="41" t="str">
        <f>IFERROR(VLOOKUP("UD",'[1]Informacion '!P:Q,2,FALSE),"")</f>
        <v>Unidad</v>
      </c>
      <c r="D100" s="39">
        <v>1</v>
      </c>
      <c r="E100" s="42">
        <v>540</v>
      </c>
      <c r="F100" s="43">
        <f t="shared" ca="1" si="5"/>
        <v>540</v>
      </c>
    </row>
    <row r="101" spans="1:6" x14ac:dyDescent="0.25">
      <c r="A101" s="46"/>
      <c r="B101" s="46"/>
      <c r="C101" s="46"/>
      <c r="D101" s="46"/>
      <c r="E101" s="44" t="s">
        <v>46</v>
      </c>
      <c r="F101" s="45">
        <f ca="1">SUM(Table5[MONTO TOTAL ESTIMADO])</f>
        <v>3390290.82</v>
      </c>
    </row>
    <row r="102" spans="1:6" ht="15.75" thickBot="1" x14ac:dyDescent="0.3">
      <c r="A102" s="46"/>
      <c r="B102" s="46"/>
      <c r="C102" s="46"/>
      <c r="D102" s="46"/>
      <c r="E102" s="46"/>
      <c r="F102" s="46"/>
    </row>
    <row r="103" spans="1:6" ht="34.5" thickBot="1" x14ac:dyDescent="0.3">
      <c r="A103" s="29" t="s">
        <v>18</v>
      </c>
      <c r="B103" s="29" t="s">
        <v>19</v>
      </c>
      <c r="C103" s="29" t="s">
        <v>20</v>
      </c>
      <c r="D103" s="29" t="s">
        <v>21</v>
      </c>
      <c r="E103" s="29" t="s">
        <v>22</v>
      </c>
      <c r="F103" s="29" t="s">
        <v>23</v>
      </c>
    </row>
    <row r="104" spans="1:6" ht="15.75" thickBot="1" x14ac:dyDescent="0.3">
      <c r="A104" s="30" t="s">
        <v>56</v>
      </c>
      <c r="B104" s="30" t="s">
        <v>57</v>
      </c>
      <c r="C104" s="30" t="s">
        <v>26</v>
      </c>
      <c r="D104" s="30" t="s">
        <v>27</v>
      </c>
      <c r="E104" s="30" t="s">
        <v>28</v>
      </c>
      <c r="F104" s="30"/>
    </row>
    <row r="105" spans="1:6" ht="15.75" thickBot="1" x14ac:dyDescent="0.3">
      <c r="A105" s="31" t="s">
        <v>29</v>
      </c>
      <c r="B105" s="32" t="s">
        <v>30</v>
      </c>
      <c r="C105" s="33">
        <v>46304</v>
      </c>
      <c r="D105" s="31" t="s">
        <v>31</v>
      </c>
      <c r="E105" s="34" t="s">
        <v>32</v>
      </c>
      <c r="F105" s="35" t="s">
        <v>33</v>
      </c>
    </row>
    <row r="106" spans="1:6" ht="15.75" thickBot="1" x14ac:dyDescent="0.3">
      <c r="A106" s="36"/>
      <c r="B106" s="32" t="s">
        <v>34</v>
      </c>
      <c r="C106" s="37">
        <f>IF(C105="","",IF(AND(MONTH(C105)&gt;=1,MONTH(C105)&lt;=3),1,IF(AND(MONTH(C105)&gt;=4,MONTH(C105)&lt;=6),2,IF(AND(MONTH(C105)&gt;=7,MONTH(C105)&lt;=9),3,4))))</f>
        <v>4</v>
      </c>
      <c r="D106" s="36"/>
      <c r="E106" s="34" t="s">
        <v>35</v>
      </c>
      <c r="F106" s="35"/>
    </row>
    <row r="107" spans="1:6" ht="15.75" thickBot="1" x14ac:dyDescent="0.3">
      <c r="A107" s="36"/>
      <c r="B107" s="32" t="s">
        <v>36</v>
      </c>
      <c r="C107" s="33">
        <v>46311</v>
      </c>
      <c r="D107" s="36"/>
      <c r="E107" s="34" t="s">
        <v>37</v>
      </c>
      <c r="F107" s="35"/>
    </row>
    <row r="108" spans="1:6" ht="15.75" thickBot="1" x14ac:dyDescent="0.3">
      <c r="A108" s="36"/>
      <c r="B108" s="32" t="s">
        <v>34</v>
      </c>
      <c r="C108" s="37">
        <f>IF(C107="","",IF(AND(MONTH(C107)&gt;=1,MONTH(C107)&lt;=3),1,IF(AND(MONTH(C107)&gt;=4,MONTH(C107)&lt;=6),2,IF(AND(MONTH(C107)&gt;=7,MONTH(C107)&lt;=9),3,4))))</f>
        <v>4</v>
      </c>
      <c r="D108" s="36"/>
      <c r="E108" s="34" t="s">
        <v>38</v>
      </c>
      <c r="F108" s="35"/>
    </row>
    <row r="109" spans="1:6" ht="15.75" thickBot="1" x14ac:dyDescent="0.3">
      <c r="A109" s="46"/>
      <c r="B109" s="46"/>
      <c r="C109" s="46"/>
      <c r="D109" s="46"/>
      <c r="E109" s="46"/>
      <c r="F109" s="46"/>
    </row>
    <row r="110" spans="1:6" ht="15.75" thickBot="1" x14ac:dyDescent="0.3">
      <c r="A110" s="38" t="s">
        <v>39</v>
      </c>
      <c r="B110" s="38" t="s">
        <v>40</v>
      </c>
      <c r="C110" s="38" t="s">
        <v>41</v>
      </c>
      <c r="D110" s="38" t="s">
        <v>42</v>
      </c>
      <c r="E110" s="38" t="s">
        <v>43</v>
      </c>
      <c r="F110" s="38" t="s">
        <v>44</v>
      </c>
    </row>
    <row r="111" spans="1:6" ht="23.25" customHeight="1" x14ac:dyDescent="0.25">
      <c r="A111" s="39" t="s">
        <v>45</v>
      </c>
      <c r="B111" s="40" t="str">
        <f ca="1">IFERROR(INDEX(UNSPSCDes,MATCH(INDIRECT(ADDRESS(ROW(),COLUMN()-1,4)),UNSPSCCode,0)),IF(INDIRECT(ADDRESS(ROW(),COLUMN()-1,4))="50151513","Aceites vegetales o  de planta comestibles",""))</f>
        <v>Aceites vegetales o  de planta comestibles</v>
      </c>
      <c r="C111" s="41" t="str">
        <f>IFERROR(VLOOKUP("UD",'[1]Informacion '!P:Q,2,FALSE),"")</f>
        <v>Unidad</v>
      </c>
      <c r="D111" s="39">
        <v>10</v>
      </c>
      <c r="E111" s="42">
        <v>2280</v>
      </c>
      <c r="F111" s="43">
        <f t="shared" ref="F111:F144" ca="1" si="6">INDIRECT(ADDRESS(ROW(),COLUMN()-2,4))*INDIRECT(ADDRESS(ROW(),COLUMN()-1,4))</f>
        <v>22800</v>
      </c>
    </row>
    <row r="112" spans="1:6" x14ac:dyDescent="0.25">
      <c r="A112" s="39" t="s">
        <v>58</v>
      </c>
      <c r="B112" s="40" t="str">
        <f ca="1">IFERROR(INDEX(UNSPSCDes,MATCH(INDIRECT(ADDRESS(ROW(),COLUMN()-1,4)),UNSPSCCode,0)),IF(INDIRECT(ADDRESS(ROW(),COLUMN()-1,4))="50221101","Grano de cereal",""))</f>
        <v>Grano de cereal</v>
      </c>
      <c r="C112" s="41" t="str">
        <f>IFERROR(VLOOKUP("LB",'[1]Informacion '!P:Q,2,FALSE),"")</f>
        <v>Libra </v>
      </c>
      <c r="D112" s="39">
        <v>48</v>
      </c>
      <c r="E112" s="42">
        <v>100</v>
      </c>
      <c r="F112" s="43">
        <f t="shared" ca="1" si="6"/>
        <v>4800</v>
      </c>
    </row>
    <row r="113" spans="1:6" x14ac:dyDescent="0.25">
      <c r="A113" s="39" t="s">
        <v>59</v>
      </c>
      <c r="B113" s="40" t="str">
        <f ca="1">IFERROR(INDEX(UNSPSCDes,MATCH(INDIRECT(ADDRESS(ROW(),COLUMN()-1,4)),UNSPSCCode,0)),IF(INDIRECT(ADDRESS(ROW(),COLUMN()-1,4))="50101543","Judías secas",""))</f>
        <v>Judías secas</v>
      </c>
      <c r="C113" s="41" t="str">
        <f>IFERROR(VLOOKUP("CAJ",'[1]Informacion '!P:Q,2,FALSE),"")</f>
        <v>Caja</v>
      </c>
      <c r="D113" s="39">
        <v>12</v>
      </c>
      <c r="E113" s="42">
        <v>2400</v>
      </c>
      <c r="F113" s="43">
        <f t="shared" ca="1" si="6"/>
        <v>28800</v>
      </c>
    </row>
    <row r="114" spans="1:6" x14ac:dyDescent="0.25">
      <c r="A114" s="39" t="s">
        <v>58</v>
      </c>
      <c r="B114" s="40" t="str">
        <f ca="1">IFERROR(INDEX(UNSPSCDes,MATCH(INDIRECT(ADDRESS(ROW(),COLUMN()-1,4)),UNSPSCCode,0)),IF(INDIRECT(ADDRESS(ROW(),COLUMN()-1,4))="50221101","Grano de cereal",""))</f>
        <v>Grano de cereal</v>
      </c>
      <c r="C114" s="41" t="str">
        <f>IFERROR(VLOOKUP("LB",'[1]Informacion '!P:Q,2,FALSE),"")</f>
        <v>Libra </v>
      </c>
      <c r="D114" s="39">
        <v>2875</v>
      </c>
      <c r="E114" s="42">
        <v>27</v>
      </c>
      <c r="F114" s="43">
        <f t="shared" ca="1" si="6"/>
        <v>77625</v>
      </c>
    </row>
    <row r="115" spans="1:6" ht="24" customHeight="1" x14ac:dyDescent="0.25">
      <c r="A115" s="39" t="s">
        <v>60</v>
      </c>
      <c r="B115" s="40" t="str">
        <f ca="1">IFERROR(INDEX(UNSPSCDes,MATCH(INDIRECT(ADDRESS(ROW(),COLUMN()-1,4)),UNSPSCCode,0)),IF(INDIRECT(ADDRESS(ROW(),COLUMN()-1,4))="50161814","Azúcar o sustituto de azúcar, confite",""))</f>
        <v>Azúcar o sustituto de azúcar, confite</v>
      </c>
      <c r="C115" s="41" t="str">
        <f>IFERROR(VLOOKUP("LB",'[1]Informacion '!P:Q,2,FALSE),"")</f>
        <v>Libra </v>
      </c>
      <c r="D115" s="39">
        <v>625</v>
      </c>
      <c r="E115" s="42">
        <v>30</v>
      </c>
      <c r="F115" s="43">
        <f t="shared" ca="1" si="6"/>
        <v>18750</v>
      </c>
    </row>
    <row r="116" spans="1:6" ht="24" customHeight="1" x14ac:dyDescent="0.25">
      <c r="A116" s="39" t="s">
        <v>61</v>
      </c>
      <c r="B116" s="40" t="str">
        <f ca="1">IFERROR(INDEX(UNSPSCDes,MATCH(INDIRECT(ADDRESS(ROW(),COLUMN()-1,4)),UNSPSCCode,0)),IF(INDIRECT(ADDRESS(ROW(),COLUMN()-1,4))="50161511","Chocolate o sustituto de chocolate",""))</f>
        <v>Chocolate o sustituto de chocolate</v>
      </c>
      <c r="C116" s="41" t="str">
        <f>IFERROR(VLOOKUP("CAJ",'[1]Informacion '!P:Q,2,FALSE),"")</f>
        <v>Caja</v>
      </c>
      <c r="D116" s="39">
        <v>2</v>
      </c>
      <c r="E116" s="42">
        <v>7000</v>
      </c>
      <c r="F116" s="43">
        <f t="shared" ca="1" si="6"/>
        <v>14000</v>
      </c>
    </row>
    <row r="117" spans="1:6" ht="22.5" x14ac:dyDescent="0.25">
      <c r="A117" s="39" t="s">
        <v>62</v>
      </c>
      <c r="B117" s="40" t="str">
        <f ca="1">IFERROR(INDEX(UNSPSCDes,MATCH(INDIRECT(ADDRESS(ROW(),COLUMN()-1,4)),UNSPSCCode,0)),IF(INDIRECT(ADDRESS(ROW(),COLUMN()-1,4))="50192901","Pasta sencilla o fideos",""))</f>
        <v>Pasta sencilla o fideos</v>
      </c>
      <c r="C117" s="41" t="str">
        <f>IFERROR(VLOOKUP("LB",'[1]Informacion '!P:Q,2,FALSE),"")</f>
        <v>Libra </v>
      </c>
      <c r="D117" s="39">
        <v>30</v>
      </c>
      <c r="E117" s="42">
        <v>45</v>
      </c>
      <c r="F117" s="43">
        <f t="shared" ca="1" si="6"/>
        <v>1350</v>
      </c>
    </row>
    <row r="118" spans="1:6" ht="22.5" x14ac:dyDescent="0.25">
      <c r="A118" s="39" t="s">
        <v>62</v>
      </c>
      <c r="B118" s="40" t="str">
        <f ca="1">IFERROR(INDEX(UNSPSCDes,MATCH(INDIRECT(ADDRESS(ROW(),COLUMN()-1,4)),UNSPSCCode,0)),IF(INDIRECT(ADDRESS(ROW(),COLUMN()-1,4))="50192901","Pasta sencilla o fideos",""))</f>
        <v>Pasta sencilla o fideos</v>
      </c>
      <c r="C118" s="41" t="str">
        <f>IFERROR(VLOOKUP("LB",'[1]Informacion '!P:Q,2,FALSE),"")</f>
        <v>Libra </v>
      </c>
      <c r="D118" s="39">
        <v>30</v>
      </c>
      <c r="E118" s="42">
        <v>45</v>
      </c>
      <c r="F118" s="43">
        <f t="shared" ca="1" si="6"/>
        <v>1350</v>
      </c>
    </row>
    <row r="119" spans="1:6" ht="22.5" x14ac:dyDescent="0.25">
      <c r="A119" s="39" t="s">
        <v>62</v>
      </c>
      <c r="B119" s="40" t="str">
        <f ca="1">IFERROR(INDEX(UNSPSCDes,MATCH(INDIRECT(ADDRESS(ROW(),COLUMN()-1,4)),UNSPSCCode,0)),IF(INDIRECT(ADDRESS(ROW(),COLUMN()-1,4))="50192901","Pasta sencilla o fideos",""))</f>
        <v>Pasta sencilla o fideos</v>
      </c>
      <c r="C119" s="41" t="str">
        <f>IFERROR(VLOOKUP("LB",'[1]Informacion '!P:Q,2,FALSE),"")</f>
        <v>Libra </v>
      </c>
      <c r="D119" s="39">
        <v>30</v>
      </c>
      <c r="E119" s="42">
        <v>45</v>
      </c>
      <c r="F119" s="43">
        <f t="shared" ca="1" si="6"/>
        <v>1350</v>
      </c>
    </row>
    <row r="120" spans="1:6" ht="24" customHeight="1" x14ac:dyDescent="0.25">
      <c r="A120" s="39" t="s">
        <v>63</v>
      </c>
      <c r="B120" s="40" t="str">
        <f ca="1">IFERROR(INDEX(UNSPSCDes,MATCH(INDIRECT(ADDRESS(ROW(),COLUMN()-1,4)),UNSPSCCode,0)),IF(INDIRECT(ADDRESS(ROW(),COLUMN()-1,4))="50131701","Productos de leche o mantequilla frescos",""))</f>
        <v>Productos de leche o mantequilla frescos</v>
      </c>
      <c r="C120" s="41" t="str">
        <f>IFERROR(VLOOKUP("UD",'[1]Informacion '!P:Q,2,FALSE),"")</f>
        <v>Unidad</v>
      </c>
      <c r="D120" s="39">
        <v>10</v>
      </c>
      <c r="E120" s="42">
        <v>9300</v>
      </c>
      <c r="F120" s="43">
        <f t="shared" ca="1" si="6"/>
        <v>93000</v>
      </c>
    </row>
    <row r="121" spans="1:6" x14ac:dyDescent="0.25">
      <c r="A121" s="39" t="s">
        <v>64</v>
      </c>
      <c r="B121" s="40" t="str">
        <f ca="1">IFERROR(INDEX(UNSPSCDes,MATCH(INDIRECT(ADDRESS(ROW(),COLUMN()-1,4)),UNSPSCCode,0)),IF(INDIRECT(ADDRESS(ROW(),COLUMN()-1,4))="50192112","Maíz pira",""))</f>
        <v>Maíz pira</v>
      </c>
      <c r="C121" s="41" t="str">
        <f>IFERROR(VLOOKUP("CAJ",'[1]Informacion '!P:Q,2,FALSE),"")</f>
        <v>Caja</v>
      </c>
      <c r="D121" s="39">
        <v>10</v>
      </c>
      <c r="E121" s="42">
        <v>1500</v>
      </c>
      <c r="F121" s="43">
        <f t="shared" ca="1" si="6"/>
        <v>15000</v>
      </c>
    </row>
    <row r="122" spans="1:6" x14ac:dyDescent="0.25">
      <c r="A122" s="39" t="s">
        <v>65</v>
      </c>
      <c r="B122" s="40" t="str">
        <f ca="1">IFERROR(INDEX(UNSPSCDes,MATCH(INDIRECT(ADDRESS(ROW(),COLUMN()-1,4)),UNSPSCCode,0)),IF(INDIRECT(ADDRESS(ROW(),COLUMN()-1,4))="50221102","Grano de harina",""))</f>
        <v>Grano de harina</v>
      </c>
      <c r="C122" s="41" t="str">
        <f>IFERROR(VLOOKUP("CAJ",'[1]Informacion '!P:Q,2,FALSE),"")</f>
        <v>Caja</v>
      </c>
      <c r="D122" s="39">
        <v>1</v>
      </c>
      <c r="E122" s="42">
        <v>3900</v>
      </c>
      <c r="F122" s="43">
        <f t="shared" ca="1" si="6"/>
        <v>3900</v>
      </c>
    </row>
    <row r="123" spans="1:6" ht="22.5" x14ac:dyDescent="0.25">
      <c r="A123" s="39" t="s">
        <v>66</v>
      </c>
      <c r="B123" s="40" t="str">
        <f ca="1">IFERROR(INDEX(UNSPSCDes,MATCH(INDIRECT(ADDRESS(ROW(),COLUMN()-1,4)),UNSPSCCode,0)),IF(INDIRECT(ADDRESS(ROW(),COLUMN()-1,4))="50171831","Salsas para cocinar",""))</f>
        <v>Salsas para cocinar</v>
      </c>
      <c r="C123" s="41" t="str">
        <f>IFERROR(VLOOKUP("CAJ",'[1]Informacion '!P:Q,2,FALSE),"")</f>
        <v>Caja</v>
      </c>
      <c r="D123" s="39">
        <v>5</v>
      </c>
      <c r="E123" s="42">
        <v>4100</v>
      </c>
      <c r="F123" s="43">
        <f t="shared" ca="1" si="6"/>
        <v>20500</v>
      </c>
    </row>
    <row r="124" spans="1:6" x14ac:dyDescent="0.25">
      <c r="A124" s="39" t="s">
        <v>65</v>
      </c>
      <c r="B124" s="40" t="str">
        <f ca="1">IFERROR(INDEX(UNSPSCDes,MATCH(INDIRECT(ADDRESS(ROW(),COLUMN()-1,4)),UNSPSCCode,0)),IF(INDIRECT(ADDRESS(ROW(),COLUMN()-1,4))="50221102","Grano de harina",""))</f>
        <v>Grano de harina</v>
      </c>
      <c r="C124" s="41" t="str">
        <f>IFERROR(VLOOKUP("LB",'[1]Informacion '!P:Q,2,FALSE),"")</f>
        <v>Libra </v>
      </c>
      <c r="D124" s="39">
        <v>100</v>
      </c>
      <c r="E124" s="42">
        <v>45</v>
      </c>
      <c r="F124" s="43">
        <f t="shared" ca="1" si="6"/>
        <v>4500</v>
      </c>
    </row>
    <row r="125" spans="1:6" x14ac:dyDescent="0.25">
      <c r="A125" s="39" t="s">
        <v>65</v>
      </c>
      <c r="B125" s="40" t="str">
        <f ca="1">IFERROR(INDEX(UNSPSCDes,MATCH(INDIRECT(ADDRESS(ROW(),COLUMN()-1,4)),UNSPSCCode,0)),IF(INDIRECT(ADDRESS(ROW(),COLUMN()-1,4))="50221102","Grano de harina",""))</f>
        <v>Grano de harina</v>
      </c>
      <c r="C125" s="41" t="str">
        <f>IFERROR(VLOOKUP("LB",'[1]Informacion '!P:Q,2,FALSE),"")</f>
        <v>Libra </v>
      </c>
      <c r="D125" s="39">
        <v>50</v>
      </c>
      <c r="E125" s="42">
        <v>26</v>
      </c>
      <c r="F125" s="43">
        <f t="shared" ca="1" si="6"/>
        <v>1300</v>
      </c>
    </row>
    <row r="126" spans="1:6" x14ac:dyDescent="0.25">
      <c r="A126" s="39" t="s">
        <v>67</v>
      </c>
      <c r="B126" s="40" t="str">
        <f ca="1">IFERROR(INDEX(UNSPSCDes,MATCH(INDIRECT(ADDRESS(ROW(),COLUMN()-1,4)),UNSPSCCode,0)),IF(INDIRECT(ADDRESS(ROW(),COLUMN()-1,4))="50171707","Vinagres",""))</f>
        <v>Vinagres</v>
      </c>
      <c r="C126" s="41" t="str">
        <f>IFERROR(VLOOKUP("CAJ",'[1]Informacion '!P:Q,2,FALSE),"")</f>
        <v>Caja</v>
      </c>
      <c r="D126" s="39">
        <v>6</v>
      </c>
      <c r="E126" s="42">
        <v>1650</v>
      </c>
      <c r="F126" s="43">
        <f t="shared" ca="1" si="6"/>
        <v>9900</v>
      </c>
    </row>
    <row r="127" spans="1:6" ht="21.75" customHeight="1" x14ac:dyDescent="0.25">
      <c r="A127" s="39" t="s">
        <v>63</v>
      </c>
      <c r="B127" s="40" t="str">
        <f ca="1">IFERROR(INDEX(UNSPSCDes,MATCH(INDIRECT(ADDRESS(ROW(),COLUMN()-1,4)),UNSPSCCode,0)),IF(INDIRECT(ADDRESS(ROW(),COLUMN()-1,4))="50131701","Productos de leche o mantequilla frescos",""))</f>
        <v>Productos de leche o mantequilla frescos</v>
      </c>
      <c r="C127" s="41" t="str">
        <f>IFERROR(VLOOKUP("CAJ",'[1]Informacion '!P:Q,2,FALSE),"")</f>
        <v>Caja</v>
      </c>
      <c r="D127" s="39">
        <v>3</v>
      </c>
      <c r="E127" s="42">
        <v>2500</v>
      </c>
      <c r="F127" s="43">
        <f t="shared" ca="1" si="6"/>
        <v>7500</v>
      </c>
    </row>
    <row r="128" spans="1:6" x14ac:dyDescent="0.25">
      <c r="A128" s="39" t="s">
        <v>68</v>
      </c>
      <c r="B128" s="40" t="str">
        <f ca="1">IFERROR(INDEX(UNSPSCDes,MATCH(INDIRECT(ADDRESS(ROW(),COLUMN()-1,4)),UNSPSCCode,0)),IF(INDIRECT(ADDRESS(ROW(),COLUMN()-1,4))="50201706","Café",""))</f>
        <v>Café</v>
      </c>
      <c r="C128" s="41" t="str">
        <f>IFERROR(VLOOKUP("UD",'[1]Informacion '!P:Q,2,FALSE),"")</f>
        <v>Unidad</v>
      </c>
      <c r="D128" s="39">
        <v>6</v>
      </c>
      <c r="E128" s="42">
        <v>6000</v>
      </c>
      <c r="F128" s="43">
        <f t="shared" ca="1" si="6"/>
        <v>36000</v>
      </c>
    </row>
    <row r="129" spans="1:6" ht="22.5" x14ac:dyDescent="0.25">
      <c r="A129" s="39" t="s">
        <v>69</v>
      </c>
      <c r="B129" s="40" t="str">
        <f ca="1">IFERROR(INDEX(UNSPSCDes,MATCH(INDIRECT(ADDRESS(ROW(),COLUMN()-1,4)),UNSPSCCode,0)),IF(INDIRECT(ADDRESS(ROW(),COLUMN()-1,4))="50101716","Nueces y semillas enteras",""))</f>
        <v>Nueces y semillas enteras</v>
      </c>
      <c r="C129" s="41" t="str">
        <f>IFERROR(VLOOKUP("CAJ",'[1]Informacion '!P:Q,2,FALSE),"")</f>
        <v>Caja</v>
      </c>
      <c r="D129" s="39">
        <v>1</v>
      </c>
      <c r="E129" s="42">
        <v>4600</v>
      </c>
      <c r="F129" s="43">
        <f t="shared" ca="1" si="6"/>
        <v>4600</v>
      </c>
    </row>
    <row r="130" spans="1:6" x14ac:dyDescent="0.25">
      <c r="A130" s="39" t="s">
        <v>70</v>
      </c>
      <c r="B130" s="40" t="str">
        <f ca="1">IFERROR(INDEX(UNSPSCDes,MATCH(INDIRECT(ADDRESS(ROW(),COLUMN()-1,4)),UNSPSCCode,0)),IF(INDIRECT(ADDRESS(ROW(),COLUMN()-1,4))="50181909","Galletas de soda",""))</f>
        <v>Galletas de soda</v>
      </c>
      <c r="C130" s="41" t="str">
        <f>IFERROR(VLOOKUP("CAJ",'[1]Informacion '!P:Q,2,FALSE),"")</f>
        <v>Caja</v>
      </c>
      <c r="D130" s="39">
        <v>14</v>
      </c>
      <c r="E130" s="42">
        <v>1100</v>
      </c>
      <c r="F130" s="43">
        <f t="shared" ca="1" si="6"/>
        <v>15400</v>
      </c>
    </row>
    <row r="131" spans="1:6" x14ac:dyDescent="0.25">
      <c r="A131" s="39" t="s">
        <v>65</v>
      </c>
      <c r="B131" s="40" t="str">
        <f ca="1">IFERROR(INDEX(UNSPSCDes,MATCH(INDIRECT(ADDRESS(ROW(),COLUMN()-1,4)),UNSPSCCode,0)),IF(INDIRECT(ADDRESS(ROW(),COLUMN()-1,4))="50221102","Grano de harina",""))</f>
        <v>Grano de harina</v>
      </c>
      <c r="C131" s="41" t="str">
        <f>IFERROR(VLOOKUP("CAJ",'[1]Informacion '!P:Q,2,FALSE),"")</f>
        <v>Caja</v>
      </c>
      <c r="D131" s="39">
        <v>1</v>
      </c>
      <c r="E131" s="42">
        <v>5100</v>
      </c>
      <c r="F131" s="43">
        <f t="shared" ca="1" si="6"/>
        <v>5100</v>
      </c>
    </row>
    <row r="132" spans="1:6" ht="22.5" x14ac:dyDescent="0.25">
      <c r="A132" s="39" t="s">
        <v>71</v>
      </c>
      <c r="B132" s="40" t="str">
        <f ca="1">IFERROR(INDEX(UNSPSCDes,MATCH(INDIRECT(ADDRESS(ROW(),COLUMN()-1,4)),UNSPSCCode,0)),IF(INDIRECT(ADDRESS(ROW(),COLUMN()-1,4))="50121537","Pescado congelado",""))</f>
        <v>Pescado congelado</v>
      </c>
      <c r="C132" s="41" t="str">
        <f>IFERROR(VLOOKUP("CAJ",'[1]Informacion '!P:Q,2,FALSE),"")</f>
        <v>Caja</v>
      </c>
      <c r="D132" s="39">
        <v>6</v>
      </c>
      <c r="E132" s="42">
        <v>3810</v>
      </c>
      <c r="F132" s="43">
        <f t="shared" ca="1" si="6"/>
        <v>22860</v>
      </c>
    </row>
    <row r="133" spans="1:6" ht="22.5" x14ac:dyDescent="0.25">
      <c r="A133" s="39" t="s">
        <v>71</v>
      </c>
      <c r="B133" s="40" t="str">
        <f ca="1">IFERROR(INDEX(UNSPSCDes,MATCH(INDIRECT(ADDRESS(ROW(),COLUMN()-1,4)),UNSPSCCode,0)),IF(INDIRECT(ADDRESS(ROW(),COLUMN()-1,4))="50121537","Pescado congelado",""))</f>
        <v>Pescado congelado</v>
      </c>
      <c r="C133" s="41" t="str">
        <f>IFERROR(VLOOKUP("CAJ",'[1]Informacion '!P:Q,2,FALSE),"")</f>
        <v>Caja</v>
      </c>
      <c r="D133" s="39">
        <v>5</v>
      </c>
      <c r="E133" s="42">
        <v>10500</v>
      </c>
      <c r="F133" s="43">
        <f t="shared" ca="1" si="6"/>
        <v>52500</v>
      </c>
    </row>
    <row r="134" spans="1:6" ht="27.75" customHeight="1" x14ac:dyDescent="0.25">
      <c r="A134" s="39" t="s">
        <v>63</v>
      </c>
      <c r="B134" s="40" t="str">
        <f ca="1">IFERROR(INDEX(UNSPSCDes,MATCH(INDIRECT(ADDRESS(ROW(),COLUMN()-1,4)),UNSPSCCode,0)),IF(INDIRECT(ADDRESS(ROW(),COLUMN()-1,4))="50131701","Productos de leche o mantequilla frescos",""))</f>
        <v>Productos de leche o mantequilla frescos</v>
      </c>
      <c r="C134" s="41" t="str">
        <f>IFERROR(VLOOKUP("CAJ",'[1]Informacion '!P:Q,2,FALSE),"")</f>
        <v>Caja</v>
      </c>
      <c r="D134" s="39">
        <v>1</v>
      </c>
      <c r="E134" s="42">
        <v>3000</v>
      </c>
      <c r="F134" s="43">
        <f t="shared" ca="1" si="6"/>
        <v>3000</v>
      </c>
    </row>
    <row r="135" spans="1:6" x14ac:dyDescent="0.25">
      <c r="A135" s="39" t="s">
        <v>65</v>
      </c>
      <c r="B135" s="40" t="str">
        <f ca="1">IFERROR(INDEX(UNSPSCDes,MATCH(INDIRECT(ADDRESS(ROW(),COLUMN()-1,4)),UNSPSCCode,0)),IF(INDIRECT(ADDRESS(ROW(),COLUMN()-1,4))="50221102","Grano de harina",""))</f>
        <v>Grano de harina</v>
      </c>
      <c r="C135" s="41" t="str">
        <f>IFERROR(VLOOKUP("LB",'[1]Informacion '!P:Q,2,FALSE),"")</f>
        <v>Libra </v>
      </c>
      <c r="D135" s="39">
        <v>60</v>
      </c>
      <c r="E135" s="42">
        <v>35</v>
      </c>
      <c r="F135" s="43">
        <f t="shared" ca="1" si="6"/>
        <v>2100</v>
      </c>
    </row>
    <row r="136" spans="1:6" ht="22.5" x14ac:dyDescent="0.25">
      <c r="A136" s="39" t="s">
        <v>71</v>
      </c>
      <c r="B136" s="40" t="str">
        <f ca="1">IFERROR(INDEX(UNSPSCDes,MATCH(INDIRECT(ADDRESS(ROW(),COLUMN()-1,4)),UNSPSCCode,0)),IF(INDIRECT(ADDRESS(ROW(),COLUMN()-1,4))="50121537","Pescado congelado",""))</f>
        <v>Pescado congelado</v>
      </c>
      <c r="C136" s="41" t="str">
        <f>IFERROR(VLOOKUP("CAJ",'[1]Informacion '!P:Q,2,FALSE),"")</f>
        <v>Caja</v>
      </c>
      <c r="D136" s="39">
        <v>12</v>
      </c>
      <c r="E136" s="42">
        <v>2500</v>
      </c>
      <c r="F136" s="43">
        <f t="shared" ca="1" si="6"/>
        <v>30000</v>
      </c>
    </row>
    <row r="137" spans="1:6" x14ac:dyDescent="0.25">
      <c r="A137" s="39" t="s">
        <v>72</v>
      </c>
      <c r="B137" s="40" t="str">
        <f ca="1">IFERROR(INDEX(UNSPSCDes,MATCH(INDIRECT(ADDRESS(ROW(),COLUMN()-1,4)),UNSPSCCode,0)),IF(INDIRECT(ADDRESS(ROW(),COLUMN()-1,4))="50171551","Sal de mesa",""))</f>
        <v>Sal de mesa</v>
      </c>
      <c r="C137" s="41" t="str">
        <f>IFERROR(VLOOKUP("LB",'[1]Informacion '!P:Q,2,FALSE),"")</f>
        <v>Libra </v>
      </c>
      <c r="D137" s="39">
        <v>200</v>
      </c>
      <c r="E137" s="42">
        <v>16</v>
      </c>
      <c r="F137" s="43">
        <f t="shared" ca="1" si="6"/>
        <v>3200</v>
      </c>
    </row>
    <row r="138" spans="1:6" ht="22.5" x14ac:dyDescent="0.25">
      <c r="A138" s="39" t="s">
        <v>66</v>
      </c>
      <c r="B138" s="40" t="str">
        <f ca="1">IFERROR(INDEX(UNSPSCDes,MATCH(INDIRECT(ADDRESS(ROW(),COLUMN()-1,4)),UNSPSCCode,0)),IF(INDIRECT(ADDRESS(ROW(),COLUMN()-1,4))="50171831","Salsas para cocinar",""))</f>
        <v>Salsas para cocinar</v>
      </c>
      <c r="C138" s="41" t="str">
        <f>IFERROR(VLOOKUP("CAJ",'[1]Informacion '!P:Q,2,FALSE),"")</f>
        <v>Caja</v>
      </c>
      <c r="D138" s="39">
        <v>4</v>
      </c>
      <c r="E138" s="42">
        <v>1300</v>
      </c>
      <c r="F138" s="43">
        <f t="shared" ca="1" si="6"/>
        <v>5200</v>
      </c>
    </row>
    <row r="139" spans="1:6" x14ac:dyDescent="0.25">
      <c r="A139" s="39" t="s">
        <v>73</v>
      </c>
      <c r="B139" s="40" t="str">
        <f ca="1">IFERROR(INDEX(UNSPSCDes,MATCH(INDIRECT(ADDRESS(ROW(),COLUMN()-1,4)),UNSPSCCode,0)),IF(INDIRECT(ADDRESS(ROW(),COLUMN()-1,4))="50171903","Aceitunas",""))</f>
        <v>Aceitunas</v>
      </c>
      <c r="C139" s="41" t="str">
        <f>IFERROR(VLOOKUP("CAJ",'[1]Informacion '!P:Q,2,FALSE),"")</f>
        <v>Caja</v>
      </c>
      <c r="D139" s="39">
        <v>1</v>
      </c>
      <c r="E139" s="42">
        <v>1150</v>
      </c>
      <c r="F139" s="43">
        <f t="shared" ca="1" si="6"/>
        <v>1150</v>
      </c>
    </row>
    <row r="140" spans="1:6" x14ac:dyDescent="0.25">
      <c r="A140" s="39" t="s">
        <v>73</v>
      </c>
      <c r="B140" s="40" t="str">
        <f ca="1">IFERROR(INDEX(UNSPSCDes,MATCH(INDIRECT(ADDRESS(ROW(),COLUMN()-1,4)),UNSPSCCode,0)),IF(INDIRECT(ADDRESS(ROW(),COLUMN()-1,4))="50171903","Aceitunas",""))</f>
        <v>Aceitunas</v>
      </c>
      <c r="C140" s="41" t="str">
        <f>IFERROR(VLOOKUP("CAJ",'[1]Informacion '!P:Q,2,FALSE),"")</f>
        <v>Caja</v>
      </c>
      <c r="D140" s="39">
        <v>1</v>
      </c>
      <c r="E140" s="42">
        <v>1150</v>
      </c>
      <c r="F140" s="43">
        <f t="shared" ca="1" si="6"/>
        <v>1150</v>
      </c>
    </row>
    <row r="141" spans="1:6" ht="26.25" customHeight="1" x14ac:dyDescent="0.25">
      <c r="A141" s="39" t="s">
        <v>63</v>
      </c>
      <c r="B141" s="40" t="str">
        <f ca="1">IFERROR(INDEX(UNSPSCDes,MATCH(INDIRECT(ADDRESS(ROW(),COLUMN()-1,4)),UNSPSCCode,0)),IF(INDIRECT(ADDRESS(ROW(),COLUMN()-1,4))="50131701","Productos de leche o mantequilla frescos",""))</f>
        <v>Productos de leche o mantequilla frescos</v>
      </c>
      <c r="C141" s="41" t="str">
        <f>IFERROR(VLOOKUP("CAJ",'[1]Informacion '!P:Q,2,FALSE),"")</f>
        <v>Caja</v>
      </c>
      <c r="D141" s="39">
        <v>2</v>
      </c>
      <c r="E141" s="42">
        <v>3258.75</v>
      </c>
      <c r="F141" s="43">
        <f t="shared" ca="1" si="6"/>
        <v>6517.5</v>
      </c>
    </row>
    <row r="142" spans="1:6" ht="22.5" x14ac:dyDescent="0.25">
      <c r="A142" s="39" t="s">
        <v>74</v>
      </c>
      <c r="B142" s="40" t="str">
        <f ca="1">IFERROR(INDEX(UNSPSCDes,MATCH(INDIRECT(ADDRESS(ROW(),COLUMN()-1,4)),UNSPSCCode,0)),IF(INDIRECT(ADDRESS(ROW(),COLUMN()-1,4))="50171708","Vinos para cocinar",""))</f>
        <v>Vinos para cocinar</v>
      </c>
      <c r="C142" s="41" t="str">
        <f>IFERROR(VLOOKUP("CAJ",'[1]Informacion '!P:Q,2,FALSE),"")</f>
        <v>Caja</v>
      </c>
      <c r="D142" s="39">
        <v>1</v>
      </c>
      <c r="E142" s="42">
        <v>1700</v>
      </c>
      <c r="F142" s="43">
        <f t="shared" ca="1" si="6"/>
        <v>1700</v>
      </c>
    </row>
    <row r="143" spans="1:6" ht="24" customHeight="1" x14ac:dyDescent="0.25">
      <c r="A143" s="39" t="s">
        <v>45</v>
      </c>
      <c r="B143" s="40" t="str">
        <f ca="1">IFERROR(INDEX(UNSPSCDes,MATCH(INDIRECT(ADDRESS(ROW(),COLUMN()-1,4)),UNSPSCCode,0)),IF(INDIRECT(ADDRESS(ROW(),COLUMN()-1,4))="50151513","Aceites vegetales o  de planta comestibles",""))</f>
        <v>Aceites vegetales o  de planta comestibles</v>
      </c>
      <c r="C143" s="41" t="str">
        <f>IFERROR(VLOOKUP("LB",'[1]Informacion '!P:Q,2,FALSE),"")</f>
        <v>Libra </v>
      </c>
      <c r="D143" s="39">
        <v>20</v>
      </c>
      <c r="E143" s="42">
        <v>400</v>
      </c>
      <c r="F143" s="43">
        <f t="shared" ca="1" si="6"/>
        <v>8000</v>
      </c>
    </row>
    <row r="144" spans="1:6" x14ac:dyDescent="0.25">
      <c r="A144" s="39" t="s">
        <v>67</v>
      </c>
      <c r="B144" s="40" t="str">
        <f ca="1">IFERROR(INDEX(UNSPSCDes,MATCH(INDIRECT(ADDRESS(ROW(),COLUMN()-1,4)),UNSPSCCode,0)),IF(INDIRECT(ADDRESS(ROW(),COLUMN()-1,4))="50171707","Vinagres",""))</f>
        <v>Vinagres</v>
      </c>
      <c r="C144" s="41" t="str">
        <f>IFERROR(VLOOKUP("CAJ",'[1]Informacion '!P:Q,2,FALSE),"")</f>
        <v>Caja</v>
      </c>
      <c r="D144" s="39">
        <v>2</v>
      </c>
      <c r="E144" s="42">
        <v>1650</v>
      </c>
      <c r="F144" s="43">
        <f t="shared" ca="1" si="6"/>
        <v>3300</v>
      </c>
    </row>
    <row r="145" spans="1:6" x14ac:dyDescent="0.25">
      <c r="A145" s="46"/>
      <c r="B145" s="46"/>
      <c r="C145" s="46"/>
      <c r="D145" s="46"/>
      <c r="E145" s="44" t="s">
        <v>46</v>
      </c>
      <c r="F145" s="45">
        <f ca="1">SUM(Table6[MONTO TOTAL ESTIMADO])</f>
        <v>528202.5</v>
      </c>
    </row>
    <row r="146" spans="1:6" ht="15.75" thickBot="1" x14ac:dyDescent="0.3">
      <c r="A146" s="46"/>
      <c r="B146" s="46"/>
      <c r="C146" s="46"/>
      <c r="D146" s="46"/>
      <c r="E146" s="46"/>
      <c r="F146" s="46"/>
    </row>
    <row r="147" spans="1:6" ht="34.5" thickBot="1" x14ac:dyDescent="0.3">
      <c r="A147" s="29" t="s">
        <v>18</v>
      </c>
      <c r="B147" s="29" t="s">
        <v>19</v>
      </c>
      <c r="C147" s="29" t="s">
        <v>20</v>
      </c>
      <c r="D147" s="29" t="s">
        <v>21</v>
      </c>
      <c r="E147" s="29" t="s">
        <v>22</v>
      </c>
      <c r="F147" s="29" t="s">
        <v>23</v>
      </c>
    </row>
    <row r="148" spans="1:6" ht="15.75" thickBot="1" x14ac:dyDescent="0.3">
      <c r="A148" s="30" t="s">
        <v>56</v>
      </c>
      <c r="B148" s="30" t="s">
        <v>75</v>
      </c>
      <c r="C148" s="30" t="s">
        <v>26</v>
      </c>
      <c r="D148" s="30" t="s">
        <v>27</v>
      </c>
      <c r="E148" s="30" t="s">
        <v>76</v>
      </c>
      <c r="F148" s="30" t="s">
        <v>17</v>
      </c>
    </row>
    <row r="149" spans="1:6" ht="15.75" thickBot="1" x14ac:dyDescent="0.3">
      <c r="A149" s="31" t="s">
        <v>29</v>
      </c>
      <c r="B149" s="32" t="s">
        <v>30</v>
      </c>
      <c r="C149" s="33">
        <v>46176</v>
      </c>
      <c r="D149" s="31" t="s">
        <v>31</v>
      </c>
      <c r="E149" s="34" t="s">
        <v>32</v>
      </c>
      <c r="F149" s="35" t="s">
        <v>33</v>
      </c>
    </row>
    <row r="150" spans="1:6" ht="15.75" thickBot="1" x14ac:dyDescent="0.3">
      <c r="A150" s="36"/>
      <c r="B150" s="32" t="s">
        <v>34</v>
      </c>
      <c r="C150" s="37">
        <f>IF(C149="","",IF(AND(MONTH(C149)&gt;=1,MONTH(C149)&lt;=3),1,IF(AND(MONTH(C149)&gt;=4,MONTH(C149)&lt;=6),2,IF(AND(MONTH(C149)&gt;=7,MONTH(C149)&lt;=9),3,4))))</f>
        <v>2</v>
      </c>
      <c r="D150" s="36"/>
      <c r="E150" s="34" t="s">
        <v>35</v>
      </c>
      <c r="F150" s="35"/>
    </row>
    <row r="151" spans="1:6" ht="15.75" thickBot="1" x14ac:dyDescent="0.3">
      <c r="A151" s="36"/>
      <c r="B151" s="32" t="s">
        <v>36</v>
      </c>
      <c r="C151" s="33">
        <v>46179</v>
      </c>
      <c r="D151" s="36"/>
      <c r="E151" s="34" t="s">
        <v>37</v>
      </c>
      <c r="F151" s="35"/>
    </row>
    <row r="152" spans="1:6" ht="15.75" thickBot="1" x14ac:dyDescent="0.3">
      <c r="A152" s="36"/>
      <c r="B152" s="32" t="s">
        <v>34</v>
      </c>
      <c r="C152" s="37">
        <f>IF(C151="","",IF(AND(MONTH(C151)&gt;=1,MONTH(C151)&lt;=3),1,IF(AND(MONTH(C151)&gt;=4,MONTH(C151)&lt;=6),2,IF(AND(MONTH(C151)&gt;=7,MONTH(C151)&lt;=9),3,4))))</f>
        <v>2</v>
      </c>
      <c r="D152" s="36"/>
      <c r="E152" s="34" t="s">
        <v>38</v>
      </c>
      <c r="F152" s="35"/>
    </row>
    <row r="153" spans="1:6" ht="15.75" thickBot="1" x14ac:dyDescent="0.3">
      <c r="A153" s="46"/>
      <c r="B153" s="46"/>
      <c r="C153" s="46"/>
      <c r="D153" s="46"/>
      <c r="E153" s="46"/>
      <c r="F153" s="46"/>
    </row>
    <row r="154" spans="1:6" ht="15.75" thickBot="1" x14ac:dyDescent="0.3">
      <c r="A154" s="38" t="s">
        <v>39</v>
      </c>
      <c r="B154" s="38" t="s">
        <v>40</v>
      </c>
      <c r="C154" s="38" t="s">
        <v>41</v>
      </c>
      <c r="D154" s="38" t="s">
        <v>42</v>
      </c>
      <c r="E154" s="38" t="s">
        <v>43</v>
      </c>
      <c r="F154" s="38" t="s">
        <v>44</v>
      </c>
    </row>
    <row r="155" spans="1:6" ht="20.25" customHeight="1" x14ac:dyDescent="0.25">
      <c r="A155" s="39" t="s">
        <v>45</v>
      </c>
      <c r="B155" s="40" t="str">
        <f ca="1">IFERROR(INDEX(UNSPSCDes,MATCH(INDIRECT(ADDRESS(ROW(),COLUMN()-1,4)),UNSPSCCode,0)),IF(INDIRECT(ADDRESS(ROW(),COLUMN()-1,4))="50151513","Aceites vegetales o  de planta comestibles",""))</f>
        <v>Aceites vegetales o  de planta comestibles</v>
      </c>
      <c r="C155" s="41" t="str">
        <f>IFERROR(VLOOKUP("UD",'[1]Informacion '!P:Q,2,FALSE),"")</f>
        <v>Unidad</v>
      </c>
      <c r="D155" s="39">
        <v>10</v>
      </c>
      <c r="E155" s="42">
        <v>2280</v>
      </c>
      <c r="F155" s="43">
        <f t="shared" ref="F155:F185" ca="1" si="7">INDIRECT(ADDRESS(ROW(),COLUMN()-2,4))*INDIRECT(ADDRESS(ROW(),COLUMN()-1,4))</f>
        <v>22800</v>
      </c>
    </row>
    <row r="156" spans="1:6" x14ac:dyDescent="0.25">
      <c r="A156" s="39" t="s">
        <v>58</v>
      </c>
      <c r="B156" s="40" t="str">
        <f ca="1">IFERROR(INDEX(UNSPSCDes,MATCH(INDIRECT(ADDRESS(ROW(),COLUMN()-1,4)),UNSPSCCode,0)),IF(INDIRECT(ADDRESS(ROW(),COLUMN()-1,4))="50221101","Grano de cereal",""))</f>
        <v>Grano de cereal</v>
      </c>
      <c r="C156" s="41" t="str">
        <f>IFERROR(VLOOKUP("UD",'[1]Informacion '!P:Q,2,FALSE),"")</f>
        <v>Unidad</v>
      </c>
      <c r="D156" s="39">
        <v>48</v>
      </c>
      <c r="E156" s="42">
        <v>100</v>
      </c>
      <c r="F156" s="43">
        <f t="shared" ca="1" si="7"/>
        <v>4800</v>
      </c>
    </row>
    <row r="157" spans="1:6" x14ac:dyDescent="0.25">
      <c r="A157" s="39" t="s">
        <v>59</v>
      </c>
      <c r="B157" s="40" t="str">
        <f ca="1">IFERROR(INDEX(UNSPSCDes,MATCH(INDIRECT(ADDRESS(ROW(),COLUMN()-1,4)),UNSPSCCode,0)),IF(INDIRECT(ADDRESS(ROW(),COLUMN()-1,4))="50101543","Judías secas",""))</f>
        <v>Judías secas</v>
      </c>
      <c r="C157" s="41" t="str">
        <f>IFERROR(VLOOKUP("UD",'[1]Informacion '!P:Q,2,FALSE),"")</f>
        <v>Unidad</v>
      </c>
      <c r="D157" s="39">
        <v>12</v>
      </c>
      <c r="E157" s="42">
        <v>2400</v>
      </c>
      <c r="F157" s="43">
        <f t="shared" ca="1" si="7"/>
        <v>28800</v>
      </c>
    </row>
    <row r="158" spans="1:6" x14ac:dyDescent="0.25">
      <c r="A158" s="39" t="s">
        <v>58</v>
      </c>
      <c r="B158" s="40" t="str">
        <f ca="1">IFERROR(INDEX(UNSPSCDes,MATCH(INDIRECT(ADDRESS(ROW(),COLUMN()-1,4)),UNSPSCCode,0)),IF(INDIRECT(ADDRESS(ROW(),COLUMN()-1,4))="50221101","Grano de cereal",""))</f>
        <v>Grano de cereal</v>
      </c>
      <c r="C158" s="41" t="str">
        <f>IFERROR(VLOOKUP("UD",'[1]Informacion '!P:Q,2,FALSE),"")</f>
        <v>Unidad</v>
      </c>
      <c r="D158" s="39">
        <v>2875</v>
      </c>
      <c r="E158" s="42">
        <v>27</v>
      </c>
      <c r="F158" s="43">
        <f t="shared" ca="1" si="7"/>
        <v>77625</v>
      </c>
    </row>
    <row r="159" spans="1:6" ht="18.75" customHeight="1" x14ac:dyDescent="0.25">
      <c r="A159" s="39" t="s">
        <v>60</v>
      </c>
      <c r="B159" s="40" t="str">
        <f ca="1">IFERROR(INDEX(UNSPSCDes,MATCH(INDIRECT(ADDRESS(ROW(),COLUMN()-1,4)),UNSPSCCode,0)),IF(INDIRECT(ADDRESS(ROW(),COLUMN()-1,4))="50161814","Azúcar o sustituto de azúcar, confite",""))</f>
        <v>Azúcar o sustituto de azúcar, confite</v>
      </c>
      <c r="C159" s="41" t="str">
        <f>IFERROR(VLOOKUP("UD",'[1]Informacion '!P:Q,2,FALSE),"")</f>
        <v>Unidad</v>
      </c>
      <c r="D159" s="39">
        <v>625</v>
      </c>
      <c r="E159" s="42">
        <v>30</v>
      </c>
      <c r="F159" s="43">
        <f t="shared" ca="1" si="7"/>
        <v>18750</v>
      </c>
    </row>
    <row r="160" spans="1:6" ht="21" customHeight="1" x14ac:dyDescent="0.25">
      <c r="A160" s="39" t="s">
        <v>61</v>
      </c>
      <c r="B160" s="40" t="str">
        <f ca="1">IFERROR(INDEX(UNSPSCDes,MATCH(INDIRECT(ADDRESS(ROW(),COLUMN()-1,4)),UNSPSCCode,0)),IF(INDIRECT(ADDRESS(ROW(),COLUMN()-1,4))="50161511","Chocolate o sustituto de chocolate",""))</f>
        <v>Chocolate o sustituto de chocolate</v>
      </c>
      <c r="C160" s="41" t="str">
        <f>IFERROR(VLOOKUP("UD",'[1]Informacion '!P:Q,2,FALSE),"")</f>
        <v>Unidad</v>
      </c>
      <c r="D160" s="39">
        <v>2</v>
      </c>
      <c r="E160" s="42">
        <v>7000</v>
      </c>
      <c r="F160" s="43">
        <f t="shared" ca="1" si="7"/>
        <v>14000</v>
      </c>
    </row>
    <row r="161" spans="1:6" ht="18.75" customHeight="1" x14ac:dyDescent="0.25">
      <c r="A161" s="39" t="s">
        <v>62</v>
      </c>
      <c r="B161" s="40" t="str">
        <f ca="1">IFERROR(INDEX(UNSPSCDes,MATCH(INDIRECT(ADDRESS(ROW(),COLUMN()-1,4)),UNSPSCCode,0)),IF(INDIRECT(ADDRESS(ROW(),COLUMN()-1,4))="50192901","Pasta sencilla o fideos",""))</f>
        <v>Pasta sencilla o fideos</v>
      </c>
      <c r="C161" s="41" t="str">
        <f>IFERROR(VLOOKUP("UD",'[1]Informacion '!P:Q,2,FALSE),"")</f>
        <v>Unidad</v>
      </c>
      <c r="D161" s="39">
        <v>20</v>
      </c>
      <c r="E161" s="42">
        <v>45</v>
      </c>
      <c r="F161" s="43">
        <f t="shared" ca="1" si="7"/>
        <v>900</v>
      </c>
    </row>
    <row r="162" spans="1:6" ht="18.75" customHeight="1" x14ac:dyDescent="0.25">
      <c r="A162" s="39" t="s">
        <v>62</v>
      </c>
      <c r="B162" s="40" t="str">
        <f ca="1">IFERROR(INDEX(UNSPSCDes,MATCH(INDIRECT(ADDRESS(ROW(),COLUMN()-1,4)),UNSPSCCode,0)),IF(INDIRECT(ADDRESS(ROW(),COLUMN()-1,4))="50192901","Pasta sencilla o fideos",""))</f>
        <v>Pasta sencilla o fideos</v>
      </c>
      <c r="C162" s="41" t="str">
        <f>IFERROR(VLOOKUP("UD",'[1]Informacion '!P:Q,2,FALSE),"")</f>
        <v>Unidad</v>
      </c>
      <c r="D162" s="39">
        <v>20</v>
      </c>
      <c r="E162" s="42">
        <v>45</v>
      </c>
      <c r="F162" s="43">
        <f t="shared" ca="1" si="7"/>
        <v>900</v>
      </c>
    </row>
    <row r="163" spans="1:6" ht="18.75" customHeight="1" x14ac:dyDescent="0.25">
      <c r="A163" s="39" t="s">
        <v>62</v>
      </c>
      <c r="B163" s="40" t="str">
        <f ca="1">IFERROR(INDEX(UNSPSCDes,MATCH(INDIRECT(ADDRESS(ROW(),COLUMN()-1,4)),UNSPSCCode,0)),IF(INDIRECT(ADDRESS(ROW(),COLUMN()-1,4))="50192901","Pasta sencilla o fideos",""))</f>
        <v>Pasta sencilla o fideos</v>
      </c>
      <c r="C163" s="41" t="str">
        <f>IFERROR(VLOOKUP("UD",'[1]Informacion '!P:Q,2,FALSE),"")</f>
        <v>Unidad</v>
      </c>
      <c r="D163" s="39">
        <v>20</v>
      </c>
      <c r="E163" s="42">
        <v>45</v>
      </c>
      <c r="F163" s="43">
        <f t="shared" ca="1" si="7"/>
        <v>900</v>
      </c>
    </row>
    <row r="164" spans="1:6" ht="21" customHeight="1" x14ac:dyDescent="0.25">
      <c r="A164" s="39" t="s">
        <v>63</v>
      </c>
      <c r="B164" s="40" t="str">
        <f ca="1">IFERROR(INDEX(UNSPSCDes,MATCH(INDIRECT(ADDRESS(ROW(),COLUMN()-1,4)),UNSPSCCode,0)),IF(INDIRECT(ADDRESS(ROW(),COLUMN()-1,4))="50131701","Productos de leche o mantequilla frescos",""))</f>
        <v>Productos de leche o mantequilla frescos</v>
      </c>
      <c r="C164" s="41" t="str">
        <f>IFERROR(VLOOKUP("UD",'[1]Informacion '!P:Q,2,FALSE),"")</f>
        <v>Unidad</v>
      </c>
      <c r="D164" s="39">
        <v>10</v>
      </c>
      <c r="E164" s="42">
        <v>9300</v>
      </c>
      <c r="F164" s="43">
        <f t="shared" ca="1" si="7"/>
        <v>93000</v>
      </c>
    </row>
    <row r="165" spans="1:6" x14ac:dyDescent="0.25">
      <c r="A165" s="39" t="s">
        <v>64</v>
      </c>
      <c r="B165" s="40" t="str">
        <f ca="1">IFERROR(INDEX(UNSPSCDes,MATCH(INDIRECT(ADDRESS(ROW(),COLUMN()-1,4)),UNSPSCCode,0)),IF(INDIRECT(ADDRESS(ROW(),COLUMN()-1,4))="50192112","Maíz pira",""))</f>
        <v>Maíz pira</v>
      </c>
      <c r="C165" s="41" t="str">
        <f>IFERROR(VLOOKUP("UD",'[1]Informacion '!P:Q,2,FALSE),"")</f>
        <v>Unidad</v>
      </c>
      <c r="D165" s="39">
        <v>10</v>
      </c>
      <c r="E165" s="42">
        <v>1504.35</v>
      </c>
      <c r="F165" s="43">
        <f t="shared" ca="1" si="7"/>
        <v>15043.5</v>
      </c>
    </row>
    <row r="166" spans="1:6" x14ac:dyDescent="0.25">
      <c r="A166" s="39" t="s">
        <v>65</v>
      </c>
      <c r="B166" s="40" t="str">
        <f ca="1">IFERROR(INDEX(UNSPSCDes,MATCH(INDIRECT(ADDRESS(ROW(),COLUMN()-1,4)),UNSPSCCode,0)),IF(INDIRECT(ADDRESS(ROW(),COLUMN()-1,4))="50221102","Grano de harina",""))</f>
        <v>Grano de harina</v>
      </c>
      <c r="C166" s="41" t="str">
        <f>IFERROR(VLOOKUP("UD",'[1]Informacion '!P:Q,2,FALSE),"")</f>
        <v>Unidad</v>
      </c>
      <c r="D166" s="39">
        <v>1</v>
      </c>
      <c r="E166" s="42">
        <v>3900</v>
      </c>
      <c r="F166" s="43">
        <f t="shared" ca="1" si="7"/>
        <v>3900</v>
      </c>
    </row>
    <row r="167" spans="1:6" ht="22.5" x14ac:dyDescent="0.25">
      <c r="A167" s="39" t="s">
        <v>66</v>
      </c>
      <c r="B167" s="40" t="str">
        <f ca="1">IFERROR(INDEX(UNSPSCDes,MATCH(INDIRECT(ADDRESS(ROW(),COLUMN()-1,4)),UNSPSCCode,0)),IF(INDIRECT(ADDRESS(ROW(),COLUMN()-1,4))="50171831","Salsas para cocinar",""))</f>
        <v>Salsas para cocinar</v>
      </c>
      <c r="C167" s="41" t="str">
        <f>IFERROR(VLOOKUP("UD",'[1]Informacion '!P:Q,2,FALSE),"")</f>
        <v>Unidad</v>
      </c>
      <c r="D167" s="39">
        <v>5</v>
      </c>
      <c r="E167" s="42">
        <v>4100</v>
      </c>
      <c r="F167" s="43">
        <f t="shared" ca="1" si="7"/>
        <v>20500</v>
      </c>
    </row>
    <row r="168" spans="1:6" x14ac:dyDescent="0.25">
      <c r="A168" s="39" t="s">
        <v>65</v>
      </c>
      <c r="B168" s="40" t="str">
        <f ca="1">IFERROR(INDEX(UNSPSCDes,MATCH(INDIRECT(ADDRESS(ROW(),COLUMN()-1,4)),UNSPSCCode,0)),IF(INDIRECT(ADDRESS(ROW(),COLUMN()-1,4))="50221102","Grano de harina",""))</f>
        <v>Grano de harina</v>
      </c>
      <c r="C168" s="41" t="str">
        <f>IFERROR(VLOOKUP("UD",'[1]Informacion '!P:Q,2,FALSE),"")</f>
        <v>Unidad</v>
      </c>
      <c r="D168" s="39">
        <v>100</v>
      </c>
      <c r="E168" s="42">
        <v>45</v>
      </c>
      <c r="F168" s="43">
        <f t="shared" ca="1" si="7"/>
        <v>4500</v>
      </c>
    </row>
    <row r="169" spans="1:6" x14ac:dyDescent="0.25">
      <c r="A169" s="39" t="s">
        <v>65</v>
      </c>
      <c r="B169" s="40" t="str">
        <f ca="1">IFERROR(INDEX(UNSPSCDes,MATCH(INDIRECT(ADDRESS(ROW(),COLUMN()-1,4)),UNSPSCCode,0)),IF(INDIRECT(ADDRESS(ROW(),COLUMN()-1,4))="50221102","Grano de harina",""))</f>
        <v>Grano de harina</v>
      </c>
      <c r="C169" s="41" t="str">
        <f>IFERROR(VLOOKUP("UD",'[1]Informacion '!P:Q,2,FALSE),"")</f>
        <v>Unidad</v>
      </c>
      <c r="D169" s="39">
        <v>50</v>
      </c>
      <c r="E169" s="42">
        <v>22.15</v>
      </c>
      <c r="F169" s="43">
        <f t="shared" ca="1" si="7"/>
        <v>1107.5</v>
      </c>
    </row>
    <row r="170" spans="1:6" x14ac:dyDescent="0.25">
      <c r="A170" s="39" t="s">
        <v>67</v>
      </c>
      <c r="B170" s="40" t="str">
        <f ca="1">IFERROR(INDEX(UNSPSCDes,MATCH(INDIRECT(ADDRESS(ROW(),COLUMN()-1,4)),UNSPSCCode,0)),IF(INDIRECT(ADDRESS(ROW(),COLUMN()-1,4))="50171707","Vinagres",""))</f>
        <v>Vinagres</v>
      </c>
      <c r="C170" s="41" t="str">
        <f>IFERROR(VLOOKUP("UD",'[1]Informacion '!P:Q,2,FALSE),"")</f>
        <v>Unidad</v>
      </c>
      <c r="D170" s="39">
        <v>5</v>
      </c>
      <c r="E170" s="42">
        <v>1650</v>
      </c>
      <c r="F170" s="43">
        <f t="shared" ca="1" si="7"/>
        <v>8250</v>
      </c>
    </row>
    <row r="171" spans="1:6" ht="21.75" customHeight="1" x14ac:dyDescent="0.25">
      <c r="A171" s="39" t="s">
        <v>63</v>
      </c>
      <c r="B171" s="40" t="str">
        <f ca="1">IFERROR(INDEX(UNSPSCDes,MATCH(INDIRECT(ADDRESS(ROW(),COLUMN()-1,4)),UNSPSCCode,0)),IF(INDIRECT(ADDRESS(ROW(),COLUMN()-1,4))="50131701","Productos de leche o mantequilla frescos",""))</f>
        <v>Productos de leche o mantequilla frescos</v>
      </c>
      <c r="C171" s="41" t="str">
        <f>IFERROR(VLOOKUP("UD",'[1]Informacion '!P:Q,2,FALSE),"")</f>
        <v>Unidad</v>
      </c>
      <c r="D171" s="39">
        <v>3</v>
      </c>
      <c r="E171" s="42">
        <v>2500</v>
      </c>
      <c r="F171" s="43">
        <f t="shared" ca="1" si="7"/>
        <v>7500</v>
      </c>
    </row>
    <row r="172" spans="1:6" x14ac:dyDescent="0.25">
      <c r="A172" s="39" t="s">
        <v>68</v>
      </c>
      <c r="B172" s="40" t="str">
        <f ca="1">IFERROR(INDEX(UNSPSCDes,MATCH(INDIRECT(ADDRESS(ROW(),COLUMN()-1,4)),UNSPSCCode,0)),IF(INDIRECT(ADDRESS(ROW(),COLUMN()-1,4))="50201706","Café",""))</f>
        <v>Café</v>
      </c>
      <c r="C172" s="41" t="str">
        <f>IFERROR(VLOOKUP("UD",'[1]Informacion '!P:Q,2,FALSE),"")</f>
        <v>Unidad</v>
      </c>
      <c r="D172" s="39">
        <v>5</v>
      </c>
      <c r="E172" s="42">
        <v>6000</v>
      </c>
      <c r="F172" s="43">
        <f t="shared" ca="1" si="7"/>
        <v>30000</v>
      </c>
    </row>
    <row r="173" spans="1:6" x14ac:dyDescent="0.25">
      <c r="A173" s="39" t="s">
        <v>70</v>
      </c>
      <c r="B173" s="40" t="str">
        <f ca="1">IFERROR(INDEX(UNSPSCDes,MATCH(INDIRECT(ADDRESS(ROW(),COLUMN()-1,4)),UNSPSCCode,0)),IF(INDIRECT(ADDRESS(ROW(),COLUMN()-1,4))="50181909","Galletas de soda",""))</f>
        <v>Galletas de soda</v>
      </c>
      <c r="C173" s="41" t="str">
        <f>IFERROR(VLOOKUP("UD",'[1]Informacion '!P:Q,2,FALSE),"")</f>
        <v>Unidad</v>
      </c>
      <c r="D173" s="39">
        <v>14</v>
      </c>
      <c r="E173" s="42">
        <v>1100</v>
      </c>
      <c r="F173" s="43">
        <f t="shared" ca="1" si="7"/>
        <v>15400</v>
      </c>
    </row>
    <row r="174" spans="1:6" x14ac:dyDescent="0.25">
      <c r="A174" s="39" t="s">
        <v>65</v>
      </c>
      <c r="B174" s="40" t="str">
        <f ca="1">IFERROR(INDEX(UNSPSCDes,MATCH(INDIRECT(ADDRESS(ROW(),COLUMN()-1,4)),UNSPSCCode,0)),IF(INDIRECT(ADDRESS(ROW(),COLUMN()-1,4))="50221102","Grano de harina",""))</f>
        <v>Grano de harina</v>
      </c>
      <c r="C174" s="41" t="str">
        <f>IFERROR(VLOOKUP("UD",'[1]Informacion '!P:Q,2,FALSE),"")</f>
        <v>Unidad</v>
      </c>
      <c r="D174" s="39">
        <v>1</v>
      </c>
      <c r="E174" s="42">
        <v>5100</v>
      </c>
      <c r="F174" s="43">
        <f t="shared" ca="1" si="7"/>
        <v>5100</v>
      </c>
    </row>
    <row r="175" spans="1:6" ht="22.5" x14ac:dyDescent="0.25">
      <c r="A175" s="39" t="s">
        <v>71</v>
      </c>
      <c r="B175" s="40" t="str">
        <f ca="1">IFERROR(INDEX(UNSPSCDes,MATCH(INDIRECT(ADDRESS(ROW(),COLUMN()-1,4)),UNSPSCCode,0)),IF(INDIRECT(ADDRESS(ROW(),COLUMN()-1,4))="50121537","Pescado congelado",""))</f>
        <v>Pescado congelado</v>
      </c>
      <c r="C175" s="41" t="str">
        <f>IFERROR(VLOOKUP("UD",'[1]Informacion '!P:Q,2,FALSE),"")</f>
        <v>Unidad</v>
      </c>
      <c r="D175" s="39">
        <v>12</v>
      </c>
      <c r="E175" s="42">
        <v>3810</v>
      </c>
      <c r="F175" s="43">
        <f t="shared" ca="1" si="7"/>
        <v>45720</v>
      </c>
    </row>
    <row r="176" spans="1:6" ht="22.5" x14ac:dyDescent="0.25">
      <c r="A176" s="39" t="s">
        <v>71</v>
      </c>
      <c r="B176" s="40" t="str">
        <f ca="1">IFERROR(INDEX(UNSPSCDes,MATCH(INDIRECT(ADDRESS(ROW(),COLUMN()-1,4)),UNSPSCCode,0)),IF(INDIRECT(ADDRESS(ROW(),COLUMN()-1,4))="50121537","Pescado congelado",""))</f>
        <v>Pescado congelado</v>
      </c>
      <c r="C176" s="41" t="str">
        <f>IFERROR(VLOOKUP("UD",'[1]Informacion '!P:Q,2,FALSE),"")</f>
        <v>Unidad</v>
      </c>
      <c r="D176" s="39">
        <v>5</v>
      </c>
      <c r="E176" s="42">
        <v>10500</v>
      </c>
      <c r="F176" s="43">
        <f t="shared" ca="1" si="7"/>
        <v>52500</v>
      </c>
    </row>
    <row r="177" spans="1:6" x14ac:dyDescent="0.25">
      <c r="A177" s="39" t="s">
        <v>65</v>
      </c>
      <c r="B177" s="40" t="str">
        <f ca="1">IFERROR(INDEX(UNSPSCDes,MATCH(INDIRECT(ADDRESS(ROW(),COLUMN()-1,4)),UNSPSCCode,0)),IF(INDIRECT(ADDRESS(ROW(),COLUMN()-1,4))="50221102","Grano de harina",""))</f>
        <v>Grano de harina</v>
      </c>
      <c r="C177" s="41" t="str">
        <f>IFERROR(VLOOKUP("UD",'[1]Informacion '!P:Q,2,FALSE),"")</f>
        <v>Unidad</v>
      </c>
      <c r="D177" s="39">
        <v>60</v>
      </c>
      <c r="E177" s="42">
        <v>35</v>
      </c>
      <c r="F177" s="43">
        <f t="shared" ca="1" si="7"/>
        <v>2100</v>
      </c>
    </row>
    <row r="178" spans="1:6" ht="22.5" x14ac:dyDescent="0.25">
      <c r="A178" s="39" t="s">
        <v>71</v>
      </c>
      <c r="B178" s="40" t="str">
        <f ca="1">IFERROR(INDEX(UNSPSCDes,MATCH(INDIRECT(ADDRESS(ROW(),COLUMN()-1,4)),UNSPSCCode,0)),IF(INDIRECT(ADDRESS(ROW(),COLUMN()-1,4))="50121537","Pescado congelado",""))</f>
        <v>Pescado congelado</v>
      </c>
      <c r="C178" s="41" t="str">
        <f>IFERROR(VLOOKUP("UD",'[1]Informacion '!P:Q,2,FALSE),"")</f>
        <v>Unidad</v>
      </c>
      <c r="D178" s="39">
        <v>12</v>
      </c>
      <c r="E178" s="42">
        <v>2500</v>
      </c>
      <c r="F178" s="43">
        <f t="shared" ca="1" si="7"/>
        <v>30000</v>
      </c>
    </row>
    <row r="179" spans="1:6" x14ac:dyDescent="0.25">
      <c r="A179" s="39" t="s">
        <v>72</v>
      </c>
      <c r="B179" s="40" t="str">
        <f ca="1">IFERROR(INDEX(UNSPSCDes,MATCH(INDIRECT(ADDRESS(ROW(),COLUMN()-1,4)),UNSPSCCode,0)),IF(INDIRECT(ADDRESS(ROW(),COLUMN()-1,4))="50171551","Sal de mesa",""))</f>
        <v>Sal de mesa</v>
      </c>
      <c r="C179" s="41" t="str">
        <f>IFERROR(VLOOKUP("UD",'[1]Informacion '!P:Q,2,FALSE),"")</f>
        <v>Unidad</v>
      </c>
      <c r="D179" s="39">
        <v>200</v>
      </c>
      <c r="E179" s="42">
        <v>16</v>
      </c>
      <c r="F179" s="43">
        <f t="shared" ca="1" si="7"/>
        <v>3200</v>
      </c>
    </row>
    <row r="180" spans="1:6" x14ac:dyDescent="0.25">
      <c r="A180" s="39" t="s">
        <v>73</v>
      </c>
      <c r="B180" s="40" t="str">
        <f ca="1">IFERROR(INDEX(UNSPSCDes,MATCH(INDIRECT(ADDRESS(ROW(),COLUMN()-1,4)),UNSPSCCode,0)),IF(INDIRECT(ADDRESS(ROW(),COLUMN()-1,4))="50171903","Aceitunas",""))</f>
        <v>Aceitunas</v>
      </c>
      <c r="C180" s="41" t="str">
        <f>IFERROR(VLOOKUP("UD",'[1]Informacion '!P:Q,2,FALSE),"")</f>
        <v>Unidad</v>
      </c>
      <c r="D180" s="39">
        <v>2</v>
      </c>
      <c r="E180" s="42">
        <v>1150</v>
      </c>
      <c r="F180" s="43">
        <f t="shared" ca="1" si="7"/>
        <v>2300</v>
      </c>
    </row>
    <row r="181" spans="1:6" x14ac:dyDescent="0.25">
      <c r="A181" s="39" t="s">
        <v>73</v>
      </c>
      <c r="B181" s="40" t="str">
        <f ca="1">IFERROR(INDEX(UNSPSCDes,MATCH(INDIRECT(ADDRESS(ROW(),COLUMN()-1,4)),UNSPSCCode,0)),IF(INDIRECT(ADDRESS(ROW(),COLUMN()-1,4))="50171903","Aceitunas",""))</f>
        <v>Aceitunas</v>
      </c>
      <c r="C181" s="41" t="str">
        <f>IFERROR(VLOOKUP("UD",'[1]Informacion '!P:Q,2,FALSE),"")</f>
        <v>Unidad</v>
      </c>
      <c r="D181" s="39">
        <v>2</v>
      </c>
      <c r="E181" s="42">
        <v>1150</v>
      </c>
      <c r="F181" s="43">
        <f t="shared" ca="1" si="7"/>
        <v>2300</v>
      </c>
    </row>
    <row r="182" spans="1:6" ht="21" customHeight="1" x14ac:dyDescent="0.25">
      <c r="A182" s="39" t="s">
        <v>63</v>
      </c>
      <c r="B182" s="40" t="str">
        <f ca="1">IFERROR(INDEX(UNSPSCDes,MATCH(INDIRECT(ADDRESS(ROW(),COLUMN()-1,4)),UNSPSCCode,0)),IF(INDIRECT(ADDRESS(ROW(),COLUMN()-1,4))="50131701","Productos de leche o mantequilla frescos",""))</f>
        <v>Productos de leche o mantequilla frescos</v>
      </c>
      <c r="C182" s="41" t="str">
        <f>IFERROR(VLOOKUP("UD",'[1]Informacion '!P:Q,2,FALSE),"")</f>
        <v>Unidad</v>
      </c>
      <c r="D182" s="39">
        <v>1</v>
      </c>
      <c r="E182" s="42">
        <v>3258.75</v>
      </c>
      <c r="F182" s="43">
        <f t="shared" ca="1" si="7"/>
        <v>3258.75</v>
      </c>
    </row>
    <row r="183" spans="1:6" ht="18.75" customHeight="1" x14ac:dyDescent="0.25">
      <c r="A183" s="39" t="s">
        <v>45</v>
      </c>
      <c r="B183" s="40" t="str">
        <f ca="1">IFERROR(INDEX(UNSPSCDes,MATCH(INDIRECT(ADDRESS(ROW(),COLUMN()-1,4)),UNSPSCCode,0)),IF(INDIRECT(ADDRESS(ROW(),COLUMN()-1,4))="50151513","Aceites vegetales o  de planta comestibles",""))</f>
        <v>Aceites vegetales o  de planta comestibles</v>
      </c>
      <c r="C183" s="41" t="str">
        <f>IFERROR(VLOOKUP("UD",'[1]Informacion '!P:Q,2,FALSE),"")</f>
        <v>Unidad</v>
      </c>
      <c r="D183" s="39">
        <v>10</v>
      </c>
      <c r="E183" s="42">
        <v>420</v>
      </c>
      <c r="F183" s="43">
        <f t="shared" ca="1" si="7"/>
        <v>4200</v>
      </c>
    </row>
    <row r="184" spans="1:6" ht="16.5" customHeight="1" x14ac:dyDescent="0.25">
      <c r="A184" s="39" t="s">
        <v>77</v>
      </c>
      <c r="B184" s="40" t="str">
        <f ca="1">IFERROR(INDEX(UNSPSCDes,MATCH(INDIRECT(ADDRESS(ROW(),COLUMN()-1,4)),UNSPSCCode,0)),IF(INDIRECT(ADDRESS(ROW(),COLUMN()-1,4))="50171832","Salsas para ensaladas o dips",""))</f>
        <v>Salsas para ensaladas o dips</v>
      </c>
      <c r="C184" s="41" t="str">
        <f>IFERROR(VLOOKUP("UD",'[1]Informacion '!P:Q,2,FALSE),"")</f>
        <v>Unidad</v>
      </c>
      <c r="D184" s="39">
        <v>1</v>
      </c>
      <c r="E184" s="42">
        <v>1000</v>
      </c>
      <c r="F184" s="43">
        <f t="shared" ca="1" si="7"/>
        <v>1000</v>
      </c>
    </row>
    <row r="185" spans="1:6" x14ac:dyDescent="0.25">
      <c r="A185" s="39" t="s">
        <v>67</v>
      </c>
      <c r="B185" s="40" t="str">
        <f ca="1">IFERROR(INDEX(UNSPSCDes,MATCH(INDIRECT(ADDRESS(ROW(),COLUMN()-1,4)),UNSPSCCode,0)),IF(INDIRECT(ADDRESS(ROW(),COLUMN()-1,4))="50171707","Vinagres",""))</f>
        <v>Vinagres</v>
      </c>
      <c r="C185" s="41" t="str">
        <f>IFERROR(VLOOKUP("UD",'[1]Informacion '!P:Q,2,FALSE),"")</f>
        <v>Unidad</v>
      </c>
      <c r="D185" s="39">
        <v>3</v>
      </c>
      <c r="E185" s="42">
        <v>1650</v>
      </c>
      <c r="F185" s="43">
        <f t="shared" ca="1" si="7"/>
        <v>4950</v>
      </c>
    </row>
    <row r="186" spans="1:6" x14ac:dyDescent="0.25">
      <c r="A186" s="46"/>
      <c r="B186" s="46"/>
      <c r="C186" s="46"/>
      <c r="D186" s="46"/>
      <c r="E186" s="44" t="s">
        <v>46</v>
      </c>
      <c r="F186" s="45">
        <f ca="1">SUM(Table7[MONTO TOTAL ESTIMADO])</f>
        <v>525304.75</v>
      </c>
    </row>
    <row r="187" spans="1:6" ht="15.75" thickBot="1" x14ac:dyDescent="0.3">
      <c r="A187" s="46"/>
      <c r="B187" s="46"/>
      <c r="C187" s="46"/>
      <c r="D187" s="46"/>
      <c r="E187" s="46"/>
      <c r="F187" s="46"/>
    </row>
    <row r="188" spans="1:6" ht="34.5" thickBot="1" x14ac:dyDescent="0.3">
      <c r="A188" s="29" t="s">
        <v>18</v>
      </c>
      <c r="B188" s="29" t="s">
        <v>19</v>
      </c>
      <c r="C188" s="29" t="s">
        <v>20</v>
      </c>
      <c r="D188" s="29" t="s">
        <v>21</v>
      </c>
      <c r="E188" s="29" t="s">
        <v>22</v>
      </c>
      <c r="F188" s="29" t="s">
        <v>23</v>
      </c>
    </row>
    <row r="189" spans="1:6" ht="15.75" thickBot="1" x14ac:dyDescent="0.3">
      <c r="A189" s="30" t="s">
        <v>56</v>
      </c>
      <c r="B189" s="30" t="s">
        <v>78</v>
      </c>
      <c r="C189" s="30" t="s">
        <v>26</v>
      </c>
      <c r="D189" s="30" t="s">
        <v>27</v>
      </c>
      <c r="E189" s="30" t="s">
        <v>28</v>
      </c>
      <c r="F189" s="30" t="s">
        <v>17</v>
      </c>
    </row>
    <row r="190" spans="1:6" ht="15.75" thickBot="1" x14ac:dyDescent="0.3">
      <c r="A190" s="31" t="s">
        <v>29</v>
      </c>
      <c r="B190" s="32" t="s">
        <v>30</v>
      </c>
      <c r="C190" s="33">
        <v>46204</v>
      </c>
      <c r="D190" s="31" t="s">
        <v>31</v>
      </c>
      <c r="E190" s="34" t="s">
        <v>32</v>
      </c>
      <c r="F190" s="35" t="s">
        <v>33</v>
      </c>
    </row>
    <row r="191" spans="1:6" ht="15.75" thickBot="1" x14ac:dyDescent="0.3">
      <c r="A191" s="36"/>
      <c r="B191" s="32" t="s">
        <v>34</v>
      </c>
      <c r="C191" s="37">
        <f>IF(C190="","",IF(AND(MONTH(C190)&gt;=1,MONTH(C190)&lt;=3),1,IF(AND(MONTH(C190)&gt;=4,MONTH(C190)&lt;=6),2,IF(AND(MONTH(C190)&gt;=7,MONTH(C190)&lt;=9),3,4))))</f>
        <v>3</v>
      </c>
      <c r="D191" s="36"/>
      <c r="E191" s="34" t="s">
        <v>35</v>
      </c>
      <c r="F191" s="35"/>
    </row>
    <row r="192" spans="1:6" ht="15.75" thickBot="1" x14ac:dyDescent="0.3">
      <c r="A192" s="36"/>
      <c r="B192" s="32" t="s">
        <v>36</v>
      </c>
      <c r="C192" s="33">
        <v>46207</v>
      </c>
      <c r="D192" s="36"/>
      <c r="E192" s="34" t="s">
        <v>37</v>
      </c>
      <c r="F192" s="35"/>
    </row>
    <row r="193" spans="1:6" ht="15.75" thickBot="1" x14ac:dyDescent="0.3">
      <c r="A193" s="36"/>
      <c r="B193" s="32" t="s">
        <v>34</v>
      </c>
      <c r="C193" s="37">
        <f>IF(C192="","",IF(AND(MONTH(C192)&gt;=1,MONTH(C192)&lt;=3),1,IF(AND(MONTH(C192)&gt;=4,MONTH(C192)&lt;=6),2,IF(AND(MONTH(C192)&gt;=7,MONTH(C192)&lt;=9),3,4))))</f>
        <v>3</v>
      </c>
      <c r="D193" s="36"/>
      <c r="E193" s="34" t="s">
        <v>38</v>
      </c>
      <c r="F193" s="35"/>
    </row>
    <row r="194" spans="1:6" ht="15.75" thickBot="1" x14ac:dyDescent="0.3">
      <c r="A194" s="46"/>
      <c r="B194" s="46"/>
      <c r="C194" s="46"/>
      <c r="D194" s="46"/>
      <c r="E194" s="46"/>
      <c r="F194" s="46"/>
    </row>
    <row r="195" spans="1:6" ht="15.75" thickBot="1" x14ac:dyDescent="0.3">
      <c r="A195" s="38" t="s">
        <v>39</v>
      </c>
      <c r="B195" s="38" t="s">
        <v>40</v>
      </c>
      <c r="C195" s="38" t="s">
        <v>41</v>
      </c>
      <c r="D195" s="38" t="s">
        <v>42</v>
      </c>
      <c r="E195" s="38" t="s">
        <v>43</v>
      </c>
      <c r="F195" s="38" t="s">
        <v>44</v>
      </c>
    </row>
    <row r="196" spans="1:6" ht="24" customHeight="1" x14ac:dyDescent="0.25">
      <c r="A196" s="39" t="s">
        <v>45</v>
      </c>
      <c r="B196" s="40" t="str">
        <f ca="1">IFERROR(INDEX(UNSPSCDes,MATCH(INDIRECT(ADDRESS(ROW(),COLUMN()-1,4)),UNSPSCCode,0)),IF(INDIRECT(ADDRESS(ROW(),COLUMN()-1,4))="50151513","Aceites vegetales o  de planta comestibles",""))</f>
        <v>Aceites vegetales o  de planta comestibles</v>
      </c>
      <c r="C196" s="41" t="str">
        <f>IFERROR(VLOOKUP("UD",'[1]Informacion '!P:Q,2,FALSE),"")</f>
        <v>Unidad</v>
      </c>
      <c r="D196" s="39">
        <v>10</v>
      </c>
      <c r="E196" s="42">
        <v>2280</v>
      </c>
      <c r="F196" s="43">
        <f t="shared" ref="F196:F226" ca="1" si="8">INDIRECT(ADDRESS(ROW(),COLUMN()-2,4))*INDIRECT(ADDRESS(ROW(),COLUMN()-1,4))</f>
        <v>22800</v>
      </c>
    </row>
    <row r="197" spans="1:6" x14ac:dyDescent="0.25">
      <c r="A197" s="39" t="s">
        <v>58</v>
      </c>
      <c r="B197" s="40" t="str">
        <f ca="1">IFERROR(INDEX(UNSPSCDes,MATCH(INDIRECT(ADDRESS(ROW(),COLUMN()-1,4)),UNSPSCCode,0)),IF(INDIRECT(ADDRESS(ROW(),COLUMN()-1,4))="50221101","Grano de cereal",""))</f>
        <v>Grano de cereal</v>
      </c>
      <c r="C197" s="41" t="str">
        <f>IFERROR(VLOOKUP("UD",'[1]Informacion '!P:Q,2,FALSE),"")</f>
        <v>Unidad</v>
      </c>
      <c r="D197" s="39">
        <v>48</v>
      </c>
      <c r="E197" s="42">
        <v>100</v>
      </c>
      <c r="F197" s="43">
        <f t="shared" ca="1" si="8"/>
        <v>4800</v>
      </c>
    </row>
    <row r="198" spans="1:6" x14ac:dyDescent="0.25">
      <c r="A198" s="39" t="s">
        <v>59</v>
      </c>
      <c r="B198" s="40" t="str">
        <f ca="1">IFERROR(INDEX(UNSPSCDes,MATCH(INDIRECT(ADDRESS(ROW(),COLUMN()-1,4)),UNSPSCCode,0)),IF(INDIRECT(ADDRESS(ROW(),COLUMN()-1,4))="50101543","Judías secas",""))</f>
        <v>Judías secas</v>
      </c>
      <c r="C198" s="41" t="str">
        <f>IFERROR(VLOOKUP("UD",'[1]Informacion '!P:Q,2,FALSE),"")</f>
        <v>Unidad</v>
      </c>
      <c r="D198" s="39">
        <v>12</v>
      </c>
      <c r="E198" s="42">
        <v>2400</v>
      </c>
      <c r="F198" s="43">
        <f t="shared" ca="1" si="8"/>
        <v>28800</v>
      </c>
    </row>
    <row r="199" spans="1:6" x14ac:dyDescent="0.25">
      <c r="A199" s="39" t="s">
        <v>58</v>
      </c>
      <c r="B199" s="40" t="str">
        <f ca="1">IFERROR(INDEX(UNSPSCDes,MATCH(INDIRECT(ADDRESS(ROW(),COLUMN()-1,4)),UNSPSCCode,0)),IF(INDIRECT(ADDRESS(ROW(),COLUMN()-1,4))="50221101","Grano de cereal",""))</f>
        <v>Grano de cereal</v>
      </c>
      <c r="C199" s="41" t="str">
        <f>IFERROR(VLOOKUP("UD",'[1]Informacion '!P:Q,2,FALSE),"")</f>
        <v>Unidad</v>
      </c>
      <c r="D199" s="39">
        <v>2875</v>
      </c>
      <c r="E199" s="42">
        <v>27</v>
      </c>
      <c r="F199" s="43">
        <f t="shared" ca="1" si="8"/>
        <v>77625</v>
      </c>
    </row>
    <row r="200" spans="1:6" ht="17.25" customHeight="1" x14ac:dyDescent="0.25">
      <c r="A200" s="39" t="s">
        <v>60</v>
      </c>
      <c r="B200" s="40" t="str">
        <f ca="1">IFERROR(INDEX(UNSPSCDes,MATCH(INDIRECT(ADDRESS(ROW(),COLUMN()-1,4)),UNSPSCCode,0)),IF(INDIRECT(ADDRESS(ROW(),COLUMN()-1,4))="50161814","Azúcar o sustituto de azúcar, confite",""))</f>
        <v>Azúcar o sustituto de azúcar, confite</v>
      </c>
      <c r="C200" s="41" t="str">
        <f>IFERROR(VLOOKUP("UD",'[1]Informacion '!P:Q,2,FALSE),"")</f>
        <v>Unidad</v>
      </c>
      <c r="D200" s="39">
        <v>625</v>
      </c>
      <c r="E200" s="42">
        <v>30</v>
      </c>
      <c r="F200" s="43">
        <f t="shared" ca="1" si="8"/>
        <v>18750</v>
      </c>
    </row>
    <row r="201" spans="1:6" ht="19.5" customHeight="1" x14ac:dyDescent="0.25">
      <c r="A201" s="39" t="s">
        <v>61</v>
      </c>
      <c r="B201" s="40" t="str">
        <f ca="1">IFERROR(INDEX(UNSPSCDes,MATCH(INDIRECT(ADDRESS(ROW(),COLUMN()-1,4)),UNSPSCCode,0)),IF(INDIRECT(ADDRESS(ROW(),COLUMN()-1,4))="50161511","Chocolate o sustituto de chocolate",""))</f>
        <v>Chocolate o sustituto de chocolate</v>
      </c>
      <c r="C201" s="41" t="str">
        <f>IFERROR(VLOOKUP("UD",'[1]Informacion '!P:Q,2,FALSE),"")</f>
        <v>Unidad</v>
      </c>
      <c r="D201" s="39">
        <v>2</v>
      </c>
      <c r="E201" s="42">
        <v>7000</v>
      </c>
      <c r="F201" s="43">
        <f t="shared" ca="1" si="8"/>
        <v>14000</v>
      </c>
    </row>
    <row r="202" spans="1:6" ht="18.75" customHeight="1" x14ac:dyDescent="0.25">
      <c r="A202" s="39" t="s">
        <v>62</v>
      </c>
      <c r="B202" s="40" t="str">
        <f ca="1">IFERROR(INDEX(UNSPSCDes,MATCH(INDIRECT(ADDRESS(ROW(),COLUMN()-1,4)),UNSPSCCode,0)),IF(INDIRECT(ADDRESS(ROW(),COLUMN()-1,4))="50192901","Pasta sencilla o fideos",""))</f>
        <v>Pasta sencilla o fideos</v>
      </c>
      <c r="C202" s="41" t="str">
        <f>IFERROR(VLOOKUP("UD",'[1]Informacion '!P:Q,2,FALSE),"")</f>
        <v>Unidad</v>
      </c>
      <c r="D202" s="39">
        <v>20</v>
      </c>
      <c r="E202" s="42">
        <v>45</v>
      </c>
      <c r="F202" s="43">
        <f t="shared" ca="1" si="8"/>
        <v>900</v>
      </c>
    </row>
    <row r="203" spans="1:6" ht="19.5" customHeight="1" x14ac:dyDescent="0.25">
      <c r="A203" s="39" t="s">
        <v>62</v>
      </c>
      <c r="B203" s="40" t="str">
        <f ca="1">IFERROR(INDEX(UNSPSCDes,MATCH(INDIRECT(ADDRESS(ROW(),COLUMN()-1,4)),UNSPSCCode,0)),IF(INDIRECT(ADDRESS(ROW(),COLUMN()-1,4))="50192901","Pasta sencilla o fideos",""))</f>
        <v>Pasta sencilla o fideos</v>
      </c>
      <c r="C203" s="41" t="str">
        <f>IFERROR(VLOOKUP("UD",'[1]Informacion '!P:Q,2,FALSE),"")</f>
        <v>Unidad</v>
      </c>
      <c r="D203" s="39">
        <v>20</v>
      </c>
      <c r="E203" s="42">
        <v>45</v>
      </c>
      <c r="F203" s="43">
        <f t="shared" ca="1" si="8"/>
        <v>900</v>
      </c>
    </row>
    <row r="204" spans="1:6" ht="17.25" customHeight="1" x14ac:dyDescent="0.25">
      <c r="A204" s="39" t="s">
        <v>62</v>
      </c>
      <c r="B204" s="40" t="str">
        <f ca="1">IFERROR(INDEX(UNSPSCDes,MATCH(INDIRECT(ADDRESS(ROW(),COLUMN()-1,4)),UNSPSCCode,0)),IF(INDIRECT(ADDRESS(ROW(),COLUMN()-1,4))="50192901","Pasta sencilla o fideos",""))</f>
        <v>Pasta sencilla o fideos</v>
      </c>
      <c r="C204" s="41" t="str">
        <f>IFERROR(VLOOKUP("UD",'[1]Informacion '!P:Q,2,FALSE),"")</f>
        <v>Unidad</v>
      </c>
      <c r="D204" s="39">
        <v>20</v>
      </c>
      <c r="E204" s="42">
        <v>45</v>
      </c>
      <c r="F204" s="43">
        <f t="shared" ca="1" si="8"/>
        <v>900</v>
      </c>
    </row>
    <row r="205" spans="1:6" ht="18.75" customHeight="1" x14ac:dyDescent="0.25">
      <c r="A205" s="39" t="s">
        <v>63</v>
      </c>
      <c r="B205" s="40" t="str">
        <f ca="1">IFERROR(INDEX(UNSPSCDes,MATCH(INDIRECT(ADDRESS(ROW(),COLUMN()-1,4)),UNSPSCCode,0)),IF(INDIRECT(ADDRESS(ROW(),COLUMN()-1,4))="50131701","Productos de leche o mantequilla frescos",""))</f>
        <v>Productos de leche o mantequilla frescos</v>
      </c>
      <c r="C205" s="41" t="str">
        <f>IFERROR(VLOOKUP("UD",'[1]Informacion '!P:Q,2,FALSE),"")</f>
        <v>Unidad</v>
      </c>
      <c r="D205" s="39">
        <v>10</v>
      </c>
      <c r="E205" s="42">
        <v>9300</v>
      </c>
      <c r="F205" s="43">
        <f t="shared" ca="1" si="8"/>
        <v>93000</v>
      </c>
    </row>
    <row r="206" spans="1:6" x14ac:dyDescent="0.25">
      <c r="A206" s="39" t="s">
        <v>64</v>
      </c>
      <c r="B206" s="40" t="str">
        <f ca="1">IFERROR(INDEX(UNSPSCDes,MATCH(INDIRECT(ADDRESS(ROW(),COLUMN()-1,4)),UNSPSCCode,0)),IF(INDIRECT(ADDRESS(ROW(),COLUMN()-1,4))="50192112","Maíz pira",""))</f>
        <v>Maíz pira</v>
      </c>
      <c r="C206" s="41" t="str">
        <f>IFERROR(VLOOKUP("UD",'[1]Informacion '!P:Q,2,FALSE),"")</f>
        <v>Unidad</v>
      </c>
      <c r="D206" s="39">
        <v>10</v>
      </c>
      <c r="E206" s="42">
        <v>1504.35</v>
      </c>
      <c r="F206" s="43">
        <f t="shared" ca="1" si="8"/>
        <v>15043.5</v>
      </c>
    </row>
    <row r="207" spans="1:6" x14ac:dyDescent="0.25">
      <c r="A207" s="39" t="s">
        <v>65</v>
      </c>
      <c r="B207" s="40" t="str">
        <f ca="1">IFERROR(INDEX(UNSPSCDes,MATCH(INDIRECT(ADDRESS(ROW(),COLUMN()-1,4)),UNSPSCCode,0)),IF(INDIRECT(ADDRESS(ROW(),COLUMN()-1,4))="50221102","Grano de harina",""))</f>
        <v>Grano de harina</v>
      </c>
      <c r="C207" s="41" t="str">
        <f>IFERROR(VLOOKUP("UD",'[1]Informacion '!P:Q,2,FALSE),"")</f>
        <v>Unidad</v>
      </c>
      <c r="D207" s="39">
        <v>1</v>
      </c>
      <c r="E207" s="42">
        <v>3900</v>
      </c>
      <c r="F207" s="43">
        <f t="shared" ca="1" si="8"/>
        <v>3900</v>
      </c>
    </row>
    <row r="208" spans="1:6" ht="22.5" x14ac:dyDescent="0.25">
      <c r="A208" s="39" t="s">
        <v>66</v>
      </c>
      <c r="B208" s="40" t="str">
        <f ca="1">IFERROR(INDEX(UNSPSCDes,MATCH(INDIRECT(ADDRESS(ROW(),COLUMN()-1,4)),UNSPSCCode,0)),IF(INDIRECT(ADDRESS(ROW(),COLUMN()-1,4))="50171831","Salsas para cocinar",""))</f>
        <v>Salsas para cocinar</v>
      </c>
      <c r="C208" s="41" t="str">
        <f>IFERROR(VLOOKUP("UD",'[1]Informacion '!P:Q,2,FALSE),"")</f>
        <v>Unidad</v>
      </c>
      <c r="D208" s="39">
        <v>5</v>
      </c>
      <c r="E208" s="42">
        <v>4100</v>
      </c>
      <c r="F208" s="43">
        <f t="shared" ca="1" si="8"/>
        <v>20500</v>
      </c>
    </row>
    <row r="209" spans="1:6" x14ac:dyDescent="0.25">
      <c r="A209" s="39" t="s">
        <v>65</v>
      </c>
      <c r="B209" s="40" t="str">
        <f ca="1">IFERROR(INDEX(UNSPSCDes,MATCH(INDIRECT(ADDRESS(ROW(),COLUMN()-1,4)),UNSPSCCode,0)),IF(INDIRECT(ADDRESS(ROW(),COLUMN()-1,4))="50221102","Grano de harina",""))</f>
        <v>Grano de harina</v>
      </c>
      <c r="C209" s="41" t="str">
        <f>IFERROR(VLOOKUP("UD",'[1]Informacion '!P:Q,2,FALSE),"")</f>
        <v>Unidad</v>
      </c>
      <c r="D209" s="39">
        <v>100</v>
      </c>
      <c r="E209" s="42">
        <v>45</v>
      </c>
      <c r="F209" s="43">
        <f t="shared" ca="1" si="8"/>
        <v>4500</v>
      </c>
    </row>
    <row r="210" spans="1:6" x14ac:dyDescent="0.25">
      <c r="A210" s="39" t="s">
        <v>65</v>
      </c>
      <c r="B210" s="40" t="str">
        <f ca="1">IFERROR(INDEX(UNSPSCDes,MATCH(INDIRECT(ADDRESS(ROW(),COLUMN()-1,4)),UNSPSCCode,0)),IF(INDIRECT(ADDRESS(ROW(),COLUMN()-1,4))="50221102","Grano de harina",""))</f>
        <v>Grano de harina</v>
      </c>
      <c r="C210" s="41" t="str">
        <f>IFERROR(VLOOKUP("UD",'[1]Informacion '!P:Q,2,FALSE),"")</f>
        <v>Unidad</v>
      </c>
      <c r="D210" s="39">
        <v>50</v>
      </c>
      <c r="E210" s="42">
        <v>22.15</v>
      </c>
      <c r="F210" s="43">
        <f t="shared" ca="1" si="8"/>
        <v>1107.5</v>
      </c>
    </row>
    <row r="211" spans="1:6" x14ac:dyDescent="0.25">
      <c r="A211" s="39" t="s">
        <v>67</v>
      </c>
      <c r="B211" s="40" t="str">
        <f ca="1">IFERROR(INDEX(UNSPSCDes,MATCH(INDIRECT(ADDRESS(ROW(),COLUMN()-1,4)),UNSPSCCode,0)),IF(INDIRECT(ADDRESS(ROW(),COLUMN()-1,4))="50171707","Vinagres",""))</f>
        <v>Vinagres</v>
      </c>
      <c r="C211" s="41" t="str">
        <f>IFERROR(VLOOKUP("UD",'[1]Informacion '!P:Q,2,FALSE),"")</f>
        <v>Unidad</v>
      </c>
      <c r="D211" s="39">
        <v>5</v>
      </c>
      <c r="E211" s="42">
        <v>1650</v>
      </c>
      <c r="F211" s="43">
        <f t="shared" ca="1" si="8"/>
        <v>8250</v>
      </c>
    </row>
    <row r="212" spans="1:6" ht="21.75" customHeight="1" x14ac:dyDescent="0.25">
      <c r="A212" s="39" t="s">
        <v>63</v>
      </c>
      <c r="B212" s="40" t="str">
        <f ca="1">IFERROR(INDEX(UNSPSCDes,MATCH(INDIRECT(ADDRESS(ROW(),COLUMN()-1,4)),UNSPSCCode,0)),IF(INDIRECT(ADDRESS(ROW(),COLUMN()-1,4))="50131701","Productos de leche o mantequilla frescos",""))</f>
        <v>Productos de leche o mantequilla frescos</v>
      </c>
      <c r="C212" s="41" t="str">
        <f>IFERROR(VLOOKUP("UD",'[1]Informacion '!P:Q,2,FALSE),"")</f>
        <v>Unidad</v>
      </c>
      <c r="D212" s="39">
        <v>3</v>
      </c>
      <c r="E212" s="42">
        <v>2500</v>
      </c>
      <c r="F212" s="43">
        <f t="shared" ca="1" si="8"/>
        <v>7500</v>
      </c>
    </row>
    <row r="213" spans="1:6" x14ac:dyDescent="0.25">
      <c r="A213" s="39" t="s">
        <v>68</v>
      </c>
      <c r="B213" s="40" t="str">
        <f ca="1">IFERROR(INDEX(UNSPSCDes,MATCH(INDIRECT(ADDRESS(ROW(),COLUMN()-1,4)),UNSPSCCode,0)),IF(INDIRECT(ADDRESS(ROW(),COLUMN()-1,4))="50201706","Café",""))</f>
        <v>Café</v>
      </c>
      <c r="C213" s="41" t="str">
        <f>IFERROR(VLOOKUP("UD",'[1]Informacion '!P:Q,2,FALSE),"")</f>
        <v>Unidad</v>
      </c>
      <c r="D213" s="39">
        <v>5</v>
      </c>
      <c r="E213" s="42">
        <v>6000</v>
      </c>
      <c r="F213" s="43">
        <f t="shared" ca="1" si="8"/>
        <v>30000</v>
      </c>
    </row>
    <row r="214" spans="1:6" x14ac:dyDescent="0.25">
      <c r="A214" s="39" t="s">
        <v>70</v>
      </c>
      <c r="B214" s="40" t="str">
        <f ca="1">IFERROR(INDEX(UNSPSCDes,MATCH(INDIRECT(ADDRESS(ROW(),COLUMN()-1,4)),UNSPSCCode,0)),IF(INDIRECT(ADDRESS(ROW(),COLUMN()-1,4))="50181909","Galletas de soda",""))</f>
        <v>Galletas de soda</v>
      </c>
      <c r="C214" s="41" t="str">
        <f>IFERROR(VLOOKUP("UD",'[1]Informacion '!P:Q,2,FALSE),"")</f>
        <v>Unidad</v>
      </c>
      <c r="D214" s="39">
        <v>14</v>
      </c>
      <c r="E214" s="42">
        <v>1100</v>
      </c>
      <c r="F214" s="43">
        <f t="shared" ca="1" si="8"/>
        <v>15400</v>
      </c>
    </row>
    <row r="215" spans="1:6" x14ac:dyDescent="0.25">
      <c r="A215" s="39" t="s">
        <v>65</v>
      </c>
      <c r="B215" s="40" t="str">
        <f ca="1">IFERROR(INDEX(UNSPSCDes,MATCH(INDIRECT(ADDRESS(ROW(),COLUMN()-1,4)),UNSPSCCode,0)),IF(INDIRECT(ADDRESS(ROW(),COLUMN()-1,4))="50221102","Grano de harina",""))</f>
        <v>Grano de harina</v>
      </c>
      <c r="C215" s="41" t="str">
        <f>IFERROR(VLOOKUP("UD",'[1]Informacion '!P:Q,2,FALSE),"")</f>
        <v>Unidad</v>
      </c>
      <c r="D215" s="39">
        <v>1</v>
      </c>
      <c r="E215" s="42">
        <v>5100</v>
      </c>
      <c r="F215" s="43">
        <f t="shared" ca="1" si="8"/>
        <v>5100</v>
      </c>
    </row>
    <row r="216" spans="1:6" ht="22.5" x14ac:dyDescent="0.25">
      <c r="A216" s="39" t="s">
        <v>71</v>
      </c>
      <c r="B216" s="40" t="str">
        <f ca="1">IFERROR(INDEX(UNSPSCDes,MATCH(INDIRECT(ADDRESS(ROW(),COLUMN()-1,4)),UNSPSCCode,0)),IF(INDIRECT(ADDRESS(ROW(),COLUMN()-1,4))="50121537","Pescado congelado",""))</f>
        <v>Pescado congelado</v>
      </c>
      <c r="C216" s="41" t="str">
        <f>IFERROR(VLOOKUP("UD",'[1]Informacion '!P:Q,2,FALSE),"")</f>
        <v>Unidad</v>
      </c>
      <c r="D216" s="39">
        <v>12</v>
      </c>
      <c r="E216" s="42">
        <v>3810</v>
      </c>
      <c r="F216" s="43">
        <f t="shared" ca="1" si="8"/>
        <v>45720</v>
      </c>
    </row>
    <row r="217" spans="1:6" ht="22.5" x14ac:dyDescent="0.25">
      <c r="A217" s="39" t="s">
        <v>71</v>
      </c>
      <c r="B217" s="40" t="str">
        <f ca="1">IFERROR(INDEX(UNSPSCDes,MATCH(INDIRECT(ADDRESS(ROW(),COLUMN()-1,4)),UNSPSCCode,0)),IF(INDIRECT(ADDRESS(ROW(),COLUMN()-1,4))="50121537","Pescado congelado",""))</f>
        <v>Pescado congelado</v>
      </c>
      <c r="C217" s="41" t="str">
        <f>IFERROR(VLOOKUP("UD",'[1]Informacion '!P:Q,2,FALSE),"")</f>
        <v>Unidad</v>
      </c>
      <c r="D217" s="39">
        <v>5</v>
      </c>
      <c r="E217" s="42">
        <v>10500</v>
      </c>
      <c r="F217" s="43">
        <f t="shared" ca="1" si="8"/>
        <v>52500</v>
      </c>
    </row>
    <row r="218" spans="1:6" x14ac:dyDescent="0.25">
      <c r="A218" s="39" t="s">
        <v>65</v>
      </c>
      <c r="B218" s="40" t="str">
        <f ca="1">IFERROR(INDEX(UNSPSCDes,MATCH(INDIRECT(ADDRESS(ROW(),COLUMN()-1,4)),UNSPSCCode,0)),IF(INDIRECT(ADDRESS(ROW(),COLUMN()-1,4))="50221102","Grano de harina",""))</f>
        <v>Grano de harina</v>
      </c>
      <c r="C218" s="41" t="str">
        <f>IFERROR(VLOOKUP("UD",'[1]Informacion '!P:Q,2,FALSE),"")</f>
        <v>Unidad</v>
      </c>
      <c r="D218" s="39">
        <v>60</v>
      </c>
      <c r="E218" s="42">
        <v>35</v>
      </c>
      <c r="F218" s="43">
        <f t="shared" ca="1" si="8"/>
        <v>2100</v>
      </c>
    </row>
    <row r="219" spans="1:6" ht="22.5" x14ac:dyDescent="0.25">
      <c r="A219" s="39" t="s">
        <v>71</v>
      </c>
      <c r="B219" s="40" t="str">
        <f ca="1">IFERROR(INDEX(UNSPSCDes,MATCH(INDIRECT(ADDRESS(ROW(),COLUMN()-1,4)),UNSPSCCode,0)),IF(INDIRECT(ADDRESS(ROW(),COLUMN()-1,4))="50121537","Pescado congelado",""))</f>
        <v>Pescado congelado</v>
      </c>
      <c r="C219" s="41" t="str">
        <f>IFERROR(VLOOKUP("UD",'[1]Informacion '!P:Q,2,FALSE),"")</f>
        <v>Unidad</v>
      </c>
      <c r="D219" s="39">
        <v>12</v>
      </c>
      <c r="E219" s="42">
        <v>2500</v>
      </c>
      <c r="F219" s="43">
        <f t="shared" ca="1" si="8"/>
        <v>30000</v>
      </c>
    </row>
    <row r="220" spans="1:6" x14ac:dyDescent="0.25">
      <c r="A220" s="39" t="s">
        <v>72</v>
      </c>
      <c r="B220" s="40" t="str">
        <f ca="1">IFERROR(INDEX(UNSPSCDes,MATCH(INDIRECT(ADDRESS(ROW(),COLUMN()-1,4)),UNSPSCCode,0)),IF(INDIRECT(ADDRESS(ROW(),COLUMN()-1,4))="50171551","Sal de mesa",""))</f>
        <v>Sal de mesa</v>
      </c>
      <c r="C220" s="41" t="str">
        <f>IFERROR(VLOOKUP("UD",'[1]Informacion '!P:Q,2,FALSE),"")</f>
        <v>Unidad</v>
      </c>
      <c r="D220" s="39">
        <v>200</v>
      </c>
      <c r="E220" s="42">
        <v>16</v>
      </c>
      <c r="F220" s="43">
        <f t="shared" ca="1" si="8"/>
        <v>3200</v>
      </c>
    </row>
    <row r="221" spans="1:6" x14ac:dyDescent="0.25">
      <c r="A221" s="39" t="s">
        <v>73</v>
      </c>
      <c r="B221" s="40" t="str">
        <f ca="1">IFERROR(INDEX(UNSPSCDes,MATCH(INDIRECT(ADDRESS(ROW(),COLUMN()-1,4)),UNSPSCCode,0)),IF(INDIRECT(ADDRESS(ROW(),COLUMN()-1,4))="50171903","Aceitunas",""))</f>
        <v>Aceitunas</v>
      </c>
      <c r="C221" s="41" t="str">
        <f>IFERROR(VLOOKUP("UD",'[1]Informacion '!P:Q,2,FALSE),"")</f>
        <v>Unidad</v>
      </c>
      <c r="D221" s="39">
        <v>2</v>
      </c>
      <c r="E221" s="42">
        <v>1150</v>
      </c>
      <c r="F221" s="43">
        <f t="shared" ca="1" si="8"/>
        <v>2300</v>
      </c>
    </row>
    <row r="222" spans="1:6" x14ac:dyDescent="0.25">
      <c r="A222" s="39" t="s">
        <v>73</v>
      </c>
      <c r="B222" s="40" t="str">
        <f ca="1">IFERROR(INDEX(UNSPSCDes,MATCH(INDIRECT(ADDRESS(ROW(),COLUMN()-1,4)),UNSPSCCode,0)),IF(INDIRECT(ADDRESS(ROW(),COLUMN()-1,4))="50171903","Aceitunas",""))</f>
        <v>Aceitunas</v>
      </c>
      <c r="C222" s="41" t="str">
        <f>IFERROR(VLOOKUP("UD",'[1]Informacion '!P:Q,2,FALSE),"")</f>
        <v>Unidad</v>
      </c>
      <c r="D222" s="39">
        <v>2</v>
      </c>
      <c r="E222" s="42">
        <v>1150</v>
      </c>
      <c r="F222" s="43">
        <f t="shared" ca="1" si="8"/>
        <v>2300</v>
      </c>
    </row>
    <row r="223" spans="1:6" ht="21" customHeight="1" x14ac:dyDescent="0.25">
      <c r="A223" s="39" t="s">
        <v>63</v>
      </c>
      <c r="B223" s="40" t="str">
        <f ca="1">IFERROR(INDEX(UNSPSCDes,MATCH(INDIRECT(ADDRESS(ROW(),COLUMN()-1,4)),UNSPSCCode,0)),IF(INDIRECT(ADDRESS(ROW(),COLUMN()-1,4))="50131701","Productos de leche o mantequilla frescos",""))</f>
        <v>Productos de leche o mantequilla frescos</v>
      </c>
      <c r="C223" s="41" t="str">
        <f>IFERROR(VLOOKUP("UD",'[1]Informacion '!P:Q,2,FALSE),"")</f>
        <v>Unidad</v>
      </c>
      <c r="D223" s="39">
        <v>1</v>
      </c>
      <c r="E223" s="42">
        <v>3258.75</v>
      </c>
      <c r="F223" s="43">
        <f t="shared" ca="1" si="8"/>
        <v>3258.75</v>
      </c>
    </row>
    <row r="224" spans="1:6" ht="24" customHeight="1" x14ac:dyDescent="0.25">
      <c r="A224" s="39" t="s">
        <v>45</v>
      </c>
      <c r="B224" s="40" t="str">
        <f ca="1">IFERROR(INDEX(UNSPSCDes,MATCH(INDIRECT(ADDRESS(ROW(),COLUMN()-1,4)),UNSPSCCode,0)),IF(INDIRECT(ADDRESS(ROW(),COLUMN()-1,4))="50151513","Aceites vegetales o  de planta comestibles",""))</f>
        <v>Aceites vegetales o  de planta comestibles</v>
      </c>
      <c r="C224" s="41" t="str">
        <f>IFERROR(VLOOKUP("UD",'[1]Informacion '!P:Q,2,FALSE),"")</f>
        <v>Unidad</v>
      </c>
      <c r="D224" s="39">
        <v>10</v>
      </c>
      <c r="E224" s="42">
        <v>420</v>
      </c>
      <c r="F224" s="43">
        <f t="shared" ca="1" si="8"/>
        <v>4200</v>
      </c>
    </row>
    <row r="225" spans="1:6" ht="19.5" customHeight="1" x14ac:dyDescent="0.25">
      <c r="A225" s="39" t="s">
        <v>77</v>
      </c>
      <c r="B225" s="40" t="str">
        <f ca="1">IFERROR(INDEX(UNSPSCDes,MATCH(INDIRECT(ADDRESS(ROW(),COLUMN()-1,4)),UNSPSCCode,0)),IF(INDIRECT(ADDRESS(ROW(),COLUMN()-1,4))="50171832","Salsas para ensaladas o dips",""))</f>
        <v>Salsas para ensaladas o dips</v>
      </c>
      <c r="C225" s="41" t="str">
        <f>IFERROR(VLOOKUP("UD",'[1]Informacion '!P:Q,2,FALSE),"")</f>
        <v>Unidad</v>
      </c>
      <c r="D225" s="39">
        <v>1</v>
      </c>
      <c r="E225" s="42">
        <v>1000</v>
      </c>
      <c r="F225" s="43">
        <f t="shared" ca="1" si="8"/>
        <v>1000</v>
      </c>
    </row>
    <row r="226" spans="1:6" x14ac:dyDescent="0.25">
      <c r="A226" s="39" t="s">
        <v>67</v>
      </c>
      <c r="B226" s="40" t="str">
        <f ca="1">IFERROR(INDEX(UNSPSCDes,MATCH(INDIRECT(ADDRESS(ROW(),COLUMN()-1,4)),UNSPSCCode,0)),IF(INDIRECT(ADDRESS(ROW(),COLUMN()-1,4))="50171707","Vinagres",""))</f>
        <v>Vinagres</v>
      </c>
      <c r="C226" s="41" t="str">
        <f>IFERROR(VLOOKUP("UD",'[1]Informacion '!P:Q,2,FALSE),"")</f>
        <v>Unidad</v>
      </c>
      <c r="D226" s="39">
        <v>3</v>
      </c>
      <c r="E226" s="42">
        <v>1650</v>
      </c>
      <c r="F226" s="43">
        <f t="shared" ca="1" si="8"/>
        <v>4950</v>
      </c>
    </row>
    <row r="227" spans="1:6" x14ac:dyDescent="0.25">
      <c r="A227" s="46"/>
      <c r="B227" s="46"/>
      <c r="C227" s="46"/>
      <c r="D227" s="46"/>
      <c r="E227" s="44" t="s">
        <v>46</v>
      </c>
      <c r="F227" s="45">
        <f ca="1">SUM(Table8[MONTO TOTAL ESTIMADO])</f>
        <v>525304.75</v>
      </c>
    </row>
    <row r="228" spans="1:6" ht="15.75" thickBot="1" x14ac:dyDescent="0.3">
      <c r="A228" s="46"/>
      <c r="B228" s="46"/>
      <c r="C228" s="46"/>
      <c r="D228" s="46"/>
      <c r="E228" s="46"/>
      <c r="F228" s="46"/>
    </row>
    <row r="229" spans="1:6" ht="34.5" thickBot="1" x14ac:dyDescent="0.3">
      <c r="A229" s="29" t="s">
        <v>18</v>
      </c>
      <c r="B229" s="29" t="s">
        <v>19</v>
      </c>
      <c r="C229" s="29" t="s">
        <v>20</v>
      </c>
      <c r="D229" s="29" t="s">
        <v>21</v>
      </c>
      <c r="E229" s="29" t="s">
        <v>22</v>
      </c>
      <c r="F229" s="29" t="s">
        <v>23</v>
      </c>
    </row>
    <row r="230" spans="1:6" ht="15.75" thickBot="1" x14ac:dyDescent="0.3">
      <c r="A230" s="30" t="s">
        <v>56</v>
      </c>
      <c r="B230" s="30" t="s">
        <v>78</v>
      </c>
      <c r="C230" s="30" t="s">
        <v>26</v>
      </c>
      <c r="D230" s="30" t="s">
        <v>27</v>
      </c>
      <c r="E230" s="30" t="s">
        <v>28</v>
      </c>
      <c r="F230" s="30" t="s">
        <v>17</v>
      </c>
    </row>
    <row r="231" spans="1:6" ht="15.75" thickBot="1" x14ac:dyDescent="0.3">
      <c r="A231" s="31" t="s">
        <v>29</v>
      </c>
      <c r="B231" s="32" t="s">
        <v>30</v>
      </c>
      <c r="C231" s="33">
        <v>46235</v>
      </c>
      <c r="D231" s="31" t="s">
        <v>31</v>
      </c>
      <c r="E231" s="34" t="s">
        <v>32</v>
      </c>
      <c r="F231" s="35" t="s">
        <v>33</v>
      </c>
    </row>
    <row r="232" spans="1:6" ht="15.75" thickBot="1" x14ac:dyDescent="0.3">
      <c r="A232" s="36"/>
      <c r="B232" s="32" t="s">
        <v>34</v>
      </c>
      <c r="C232" s="37">
        <f>IF(C231="","",IF(AND(MONTH(C231)&gt;=1,MONTH(C231)&lt;=3),1,IF(AND(MONTH(C231)&gt;=4,MONTH(C231)&lt;=6),2,IF(AND(MONTH(C231)&gt;=7,MONTH(C231)&lt;=9),3,4))))</f>
        <v>3</v>
      </c>
      <c r="D232" s="36"/>
      <c r="E232" s="34" t="s">
        <v>35</v>
      </c>
      <c r="F232" s="35"/>
    </row>
    <row r="233" spans="1:6" ht="15.75" thickBot="1" x14ac:dyDescent="0.3">
      <c r="A233" s="36"/>
      <c r="B233" s="32" t="s">
        <v>36</v>
      </c>
      <c r="C233" s="33">
        <v>46239</v>
      </c>
      <c r="D233" s="36"/>
      <c r="E233" s="34" t="s">
        <v>37</v>
      </c>
      <c r="F233" s="35"/>
    </row>
    <row r="234" spans="1:6" ht="15.75" thickBot="1" x14ac:dyDescent="0.3">
      <c r="A234" s="36"/>
      <c r="B234" s="32" t="s">
        <v>34</v>
      </c>
      <c r="C234" s="37">
        <f>IF(C233="","",IF(AND(MONTH(C233)&gt;=1,MONTH(C233)&lt;=3),1,IF(AND(MONTH(C233)&gt;=4,MONTH(C233)&lt;=6),2,IF(AND(MONTH(C233)&gt;=7,MONTH(C233)&lt;=9),3,4))))</f>
        <v>3</v>
      </c>
      <c r="D234" s="36"/>
      <c r="E234" s="34" t="s">
        <v>38</v>
      </c>
      <c r="F234" s="35"/>
    </row>
    <row r="235" spans="1:6" ht="15.75" thickBot="1" x14ac:dyDescent="0.3">
      <c r="A235" s="46"/>
      <c r="B235" s="46"/>
      <c r="C235" s="46"/>
      <c r="D235" s="46"/>
      <c r="E235" s="46"/>
      <c r="F235" s="46"/>
    </row>
    <row r="236" spans="1:6" ht="15.75" thickBot="1" x14ac:dyDescent="0.3">
      <c r="A236" s="38" t="s">
        <v>39</v>
      </c>
      <c r="B236" s="38" t="s">
        <v>40</v>
      </c>
      <c r="C236" s="38" t="s">
        <v>41</v>
      </c>
      <c r="D236" s="38" t="s">
        <v>42</v>
      </c>
      <c r="E236" s="38" t="s">
        <v>43</v>
      </c>
      <c r="F236" s="38" t="s">
        <v>44</v>
      </c>
    </row>
    <row r="237" spans="1:6" ht="24" customHeight="1" x14ac:dyDescent="0.25">
      <c r="A237" s="39" t="s">
        <v>45</v>
      </c>
      <c r="B237" s="40" t="str">
        <f ca="1">IFERROR(INDEX(UNSPSCDes,MATCH(INDIRECT(ADDRESS(ROW(),COLUMN()-1,4)),UNSPSCCode,0)),IF(INDIRECT(ADDRESS(ROW(),COLUMN()-1,4))="50151513","Aceites vegetales o  de planta comestibles",""))</f>
        <v>Aceites vegetales o  de planta comestibles</v>
      </c>
      <c r="C237" s="41" t="str">
        <f>IFERROR(VLOOKUP("UD",'[1]Informacion '!P:Q,2,FALSE),"")</f>
        <v>Unidad</v>
      </c>
      <c r="D237" s="39">
        <v>10</v>
      </c>
      <c r="E237" s="42">
        <v>2280</v>
      </c>
      <c r="F237" s="43">
        <f t="shared" ref="F237:F267" ca="1" si="9">INDIRECT(ADDRESS(ROW(),COLUMN()-2,4))*INDIRECT(ADDRESS(ROW(),COLUMN()-1,4))</f>
        <v>22800</v>
      </c>
    </row>
    <row r="238" spans="1:6" x14ac:dyDescent="0.25">
      <c r="A238" s="39" t="s">
        <v>58</v>
      </c>
      <c r="B238" s="40" t="str">
        <f ca="1">IFERROR(INDEX(UNSPSCDes,MATCH(INDIRECT(ADDRESS(ROW(),COLUMN()-1,4)),UNSPSCCode,0)),IF(INDIRECT(ADDRESS(ROW(),COLUMN()-1,4))="50221101","Grano de cereal",""))</f>
        <v>Grano de cereal</v>
      </c>
      <c r="C238" s="41" t="str">
        <f>IFERROR(VLOOKUP("LB",'[1]Informacion '!P:Q,2,FALSE),"")</f>
        <v>Libra </v>
      </c>
      <c r="D238" s="39">
        <v>48</v>
      </c>
      <c r="E238" s="42">
        <v>100</v>
      </c>
      <c r="F238" s="43">
        <f t="shared" ca="1" si="9"/>
        <v>4800</v>
      </c>
    </row>
    <row r="239" spans="1:6" x14ac:dyDescent="0.25">
      <c r="A239" s="39" t="s">
        <v>59</v>
      </c>
      <c r="B239" s="40" t="str">
        <f ca="1">IFERROR(INDEX(UNSPSCDes,MATCH(INDIRECT(ADDRESS(ROW(),COLUMN()-1,4)),UNSPSCCode,0)),IF(INDIRECT(ADDRESS(ROW(),COLUMN()-1,4))="50101543","Judías secas",""))</f>
        <v>Judías secas</v>
      </c>
      <c r="C239" s="41" t="str">
        <f>IFERROR(VLOOKUP("CAJ",'[1]Informacion '!P:Q,2,FALSE),"")</f>
        <v>Caja</v>
      </c>
      <c r="D239" s="39">
        <v>12</v>
      </c>
      <c r="E239" s="42">
        <v>2400</v>
      </c>
      <c r="F239" s="43">
        <f t="shared" ca="1" si="9"/>
        <v>28800</v>
      </c>
    </row>
    <row r="240" spans="1:6" x14ac:dyDescent="0.25">
      <c r="A240" s="39" t="s">
        <v>58</v>
      </c>
      <c r="B240" s="40" t="str">
        <f ca="1">IFERROR(INDEX(UNSPSCDes,MATCH(INDIRECT(ADDRESS(ROW(),COLUMN()-1,4)),UNSPSCCode,0)),IF(INDIRECT(ADDRESS(ROW(),COLUMN()-1,4))="50221101","Grano de cereal",""))</f>
        <v>Grano de cereal</v>
      </c>
      <c r="C240" s="41" t="str">
        <f>IFERROR(VLOOKUP("LB",'[1]Informacion '!P:Q,2,FALSE),"")</f>
        <v>Libra </v>
      </c>
      <c r="D240" s="39">
        <v>2875</v>
      </c>
      <c r="E240" s="42">
        <v>27</v>
      </c>
      <c r="F240" s="43">
        <f t="shared" ca="1" si="9"/>
        <v>77625</v>
      </c>
    </row>
    <row r="241" spans="1:6" ht="21.75" customHeight="1" x14ac:dyDescent="0.25">
      <c r="A241" s="39" t="s">
        <v>60</v>
      </c>
      <c r="B241" s="40" t="str">
        <f ca="1">IFERROR(INDEX(UNSPSCDes,MATCH(INDIRECT(ADDRESS(ROW(),COLUMN()-1,4)),UNSPSCCode,0)),IF(INDIRECT(ADDRESS(ROW(),COLUMN()-1,4))="50161814","Azúcar o sustituto de azúcar, confite",""))</f>
        <v>Azúcar o sustituto de azúcar, confite</v>
      </c>
      <c r="C241" s="41" t="str">
        <f>IFERROR(VLOOKUP("LB",'[1]Informacion '!P:Q,2,FALSE),"")</f>
        <v>Libra </v>
      </c>
      <c r="D241" s="39">
        <v>625</v>
      </c>
      <c r="E241" s="42">
        <v>30</v>
      </c>
      <c r="F241" s="43">
        <f t="shared" ca="1" si="9"/>
        <v>18750</v>
      </c>
    </row>
    <row r="242" spans="1:6" ht="24" customHeight="1" x14ac:dyDescent="0.25">
      <c r="A242" s="39" t="s">
        <v>61</v>
      </c>
      <c r="B242" s="40" t="str">
        <f ca="1">IFERROR(INDEX(UNSPSCDes,MATCH(INDIRECT(ADDRESS(ROW(),COLUMN()-1,4)),UNSPSCCode,0)),IF(INDIRECT(ADDRESS(ROW(),COLUMN()-1,4))="50161511","Chocolate o sustituto de chocolate",""))</f>
        <v>Chocolate o sustituto de chocolate</v>
      </c>
      <c r="C242" s="41" t="str">
        <f>IFERROR(VLOOKUP("CAJ",'[1]Informacion '!P:Q,2,FALSE),"")</f>
        <v>Caja</v>
      </c>
      <c r="D242" s="39">
        <v>2</v>
      </c>
      <c r="E242" s="42">
        <v>7000</v>
      </c>
      <c r="F242" s="43">
        <f t="shared" ca="1" si="9"/>
        <v>14000</v>
      </c>
    </row>
    <row r="243" spans="1:6" ht="22.5" x14ac:dyDescent="0.25">
      <c r="A243" s="39" t="s">
        <v>62</v>
      </c>
      <c r="B243" s="40" t="str">
        <f ca="1">IFERROR(INDEX(UNSPSCDes,MATCH(INDIRECT(ADDRESS(ROW(),COLUMN()-1,4)),UNSPSCCode,0)),IF(INDIRECT(ADDRESS(ROW(),COLUMN()-1,4))="50192901","Pasta sencilla o fideos",""))</f>
        <v>Pasta sencilla o fideos</v>
      </c>
      <c r="C243" s="41" t="str">
        <f>IFERROR(VLOOKUP("LB",'[1]Informacion '!P:Q,2,FALSE),"")</f>
        <v>Libra </v>
      </c>
      <c r="D243" s="39">
        <v>20</v>
      </c>
      <c r="E243" s="42">
        <v>45</v>
      </c>
      <c r="F243" s="43">
        <f t="shared" ca="1" si="9"/>
        <v>900</v>
      </c>
    </row>
    <row r="244" spans="1:6" ht="22.5" x14ac:dyDescent="0.25">
      <c r="A244" s="39" t="s">
        <v>62</v>
      </c>
      <c r="B244" s="40" t="str">
        <f ca="1">IFERROR(INDEX(UNSPSCDes,MATCH(INDIRECT(ADDRESS(ROW(),COLUMN()-1,4)),UNSPSCCode,0)),IF(INDIRECT(ADDRESS(ROW(),COLUMN()-1,4))="50192901","Pasta sencilla o fideos",""))</f>
        <v>Pasta sencilla o fideos</v>
      </c>
      <c r="C244" s="41" t="str">
        <f>IFERROR(VLOOKUP("LB",'[1]Informacion '!P:Q,2,FALSE),"")</f>
        <v>Libra </v>
      </c>
      <c r="D244" s="39">
        <v>20</v>
      </c>
      <c r="E244" s="42">
        <v>45</v>
      </c>
      <c r="F244" s="43">
        <f t="shared" ca="1" si="9"/>
        <v>900</v>
      </c>
    </row>
    <row r="245" spans="1:6" ht="22.5" x14ac:dyDescent="0.25">
      <c r="A245" s="39" t="s">
        <v>62</v>
      </c>
      <c r="B245" s="40" t="str">
        <f ca="1">IFERROR(INDEX(UNSPSCDes,MATCH(INDIRECT(ADDRESS(ROW(),COLUMN()-1,4)),UNSPSCCode,0)),IF(INDIRECT(ADDRESS(ROW(),COLUMN()-1,4))="50192901","Pasta sencilla o fideos",""))</f>
        <v>Pasta sencilla o fideos</v>
      </c>
      <c r="C245" s="41" t="str">
        <f>IFERROR(VLOOKUP("LB",'[1]Informacion '!P:Q,2,FALSE),"")</f>
        <v>Libra </v>
      </c>
      <c r="D245" s="39">
        <v>20</v>
      </c>
      <c r="E245" s="42">
        <v>45</v>
      </c>
      <c r="F245" s="43">
        <f t="shared" ca="1" si="9"/>
        <v>900</v>
      </c>
    </row>
    <row r="246" spans="1:6" ht="18" customHeight="1" x14ac:dyDescent="0.25">
      <c r="A246" s="39" t="s">
        <v>63</v>
      </c>
      <c r="B246" s="40" t="str">
        <f ca="1">IFERROR(INDEX(UNSPSCDes,MATCH(INDIRECT(ADDRESS(ROW(),COLUMN()-1,4)),UNSPSCCode,0)),IF(INDIRECT(ADDRESS(ROW(),COLUMN()-1,4))="50131701","Productos de leche o mantequilla frescos",""))</f>
        <v>Productos de leche o mantequilla frescos</v>
      </c>
      <c r="C246" s="41" t="str">
        <f>IFERROR(VLOOKUP("UD",'[1]Informacion '!P:Q,2,FALSE),"")</f>
        <v>Unidad</v>
      </c>
      <c r="D246" s="39">
        <v>10</v>
      </c>
      <c r="E246" s="42">
        <v>9300</v>
      </c>
      <c r="F246" s="43">
        <f t="shared" ca="1" si="9"/>
        <v>93000</v>
      </c>
    </row>
    <row r="247" spans="1:6" x14ac:dyDescent="0.25">
      <c r="A247" s="39" t="s">
        <v>64</v>
      </c>
      <c r="B247" s="40" t="str">
        <f ca="1">IFERROR(INDEX(UNSPSCDes,MATCH(INDIRECT(ADDRESS(ROW(),COLUMN()-1,4)),UNSPSCCode,0)),IF(INDIRECT(ADDRESS(ROW(),COLUMN()-1,4))="50192112","Maíz pira",""))</f>
        <v>Maíz pira</v>
      </c>
      <c r="C247" s="41" t="str">
        <f>IFERROR(VLOOKUP("CAJ",'[1]Informacion '!P:Q,2,FALSE),"")</f>
        <v>Caja</v>
      </c>
      <c r="D247" s="39">
        <v>10</v>
      </c>
      <c r="E247" s="42">
        <v>1504.35</v>
      </c>
      <c r="F247" s="43">
        <f t="shared" ca="1" si="9"/>
        <v>15043.5</v>
      </c>
    </row>
    <row r="248" spans="1:6" x14ac:dyDescent="0.25">
      <c r="A248" s="39" t="s">
        <v>65</v>
      </c>
      <c r="B248" s="40" t="str">
        <f ca="1">IFERROR(INDEX(UNSPSCDes,MATCH(INDIRECT(ADDRESS(ROW(),COLUMN()-1,4)),UNSPSCCode,0)),IF(INDIRECT(ADDRESS(ROW(),COLUMN()-1,4))="50221102","Grano de harina",""))</f>
        <v>Grano de harina</v>
      </c>
      <c r="C248" s="41" t="str">
        <f>IFERROR(VLOOKUP("CAJ",'[1]Informacion '!P:Q,2,FALSE),"")</f>
        <v>Caja</v>
      </c>
      <c r="D248" s="39">
        <v>1</v>
      </c>
      <c r="E248" s="42">
        <v>3900</v>
      </c>
      <c r="F248" s="43">
        <f t="shared" ca="1" si="9"/>
        <v>3900</v>
      </c>
    </row>
    <row r="249" spans="1:6" ht="22.5" x14ac:dyDescent="0.25">
      <c r="A249" s="39" t="s">
        <v>66</v>
      </c>
      <c r="B249" s="40" t="str">
        <f ca="1">IFERROR(INDEX(UNSPSCDes,MATCH(INDIRECT(ADDRESS(ROW(),COLUMN()-1,4)),UNSPSCCode,0)),IF(INDIRECT(ADDRESS(ROW(),COLUMN()-1,4))="50171831","Salsas para cocinar",""))</f>
        <v>Salsas para cocinar</v>
      </c>
      <c r="C249" s="41" t="str">
        <f>IFERROR(VLOOKUP("CAJ",'[1]Informacion '!P:Q,2,FALSE),"")</f>
        <v>Caja</v>
      </c>
      <c r="D249" s="39">
        <v>5</v>
      </c>
      <c r="E249" s="42">
        <v>4100</v>
      </c>
      <c r="F249" s="43">
        <f t="shared" ca="1" si="9"/>
        <v>20500</v>
      </c>
    </row>
    <row r="250" spans="1:6" x14ac:dyDescent="0.25">
      <c r="A250" s="39" t="s">
        <v>65</v>
      </c>
      <c r="B250" s="40" t="str">
        <f ca="1">IFERROR(INDEX(UNSPSCDes,MATCH(INDIRECT(ADDRESS(ROW(),COLUMN()-1,4)),UNSPSCCode,0)),IF(INDIRECT(ADDRESS(ROW(),COLUMN()-1,4))="50221102","Grano de harina",""))</f>
        <v>Grano de harina</v>
      </c>
      <c r="C250" s="41" t="str">
        <f>IFERROR(VLOOKUP("LB",'[1]Informacion '!P:Q,2,FALSE),"")</f>
        <v>Libra </v>
      </c>
      <c r="D250" s="39">
        <v>100</v>
      </c>
      <c r="E250" s="42">
        <v>45</v>
      </c>
      <c r="F250" s="43">
        <f t="shared" ca="1" si="9"/>
        <v>4500</v>
      </c>
    </row>
    <row r="251" spans="1:6" x14ac:dyDescent="0.25">
      <c r="A251" s="39" t="s">
        <v>65</v>
      </c>
      <c r="B251" s="40" t="str">
        <f ca="1">IFERROR(INDEX(UNSPSCDes,MATCH(INDIRECT(ADDRESS(ROW(),COLUMN()-1,4)),UNSPSCCode,0)),IF(INDIRECT(ADDRESS(ROW(),COLUMN()-1,4))="50221102","Grano de harina",""))</f>
        <v>Grano de harina</v>
      </c>
      <c r="C251" s="41" t="str">
        <f>IFERROR(VLOOKUP("LB",'[1]Informacion '!P:Q,2,FALSE),"")</f>
        <v>Libra </v>
      </c>
      <c r="D251" s="39">
        <v>50</v>
      </c>
      <c r="E251" s="42">
        <v>22.15</v>
      </c>
      <c r="F251" s="43">
        <f t="shared" ca="1" si="9"/>
        <v>1107.5</v>
      </c>
    </row>
    <row r="252" spans="1:6" x14ac:dyDescent="0.25">
      <c r="A252" s="39" t="s">
        <v>67</v>
      </c>
      <c r="B252" s="40" t="str">
        <f ca="1">IFERROR(INDEX(UNSPSCDes,MATCH(INDIRECT(ADDRESS(ROW(),COLUMN()-1,4)),UNSPSCCode,0)),IF(INDIRECT(ADDRESS(ROW(),COLUMN()-1,4))="50171707","Vinagres",""))</f>
        <v>Vinagres</v>
      </c>
      <c r="C252" s="41" t="str">
        <f>IFERROR(VLOOKUP("CAJ",'[1]Informacion '!P:Q,2,FALSE),"")</f>
        <v>Caja</v>
      </c>
      <c r="D252" s="39">
        <v>5</v>
      </c>
      <c r="E252" s="42">
        <v>1650</v>
      </c>
      <c r="F252" s="43">
        <f t="shared" ca="1" si="9"/>
        <v>8250</v>
      </c>
    </row>
    <row r="253" spans="1:6" ht="21.75" customHeight="1" x14ac:dyDescent="0.25">
      <c r="A253" s="39" t="s">
        <v>63</v>
      </c>
      <c r="B253" s="40" t="str">
        <f ca="1">IFERROR(INDEX(UNSPSCDes,MATCH(INDIRECT(ADDRESS(ROW(),COLUMN()-1,4)),UNSPSCCode,0)),IF(INDIRECT(ADDRESS(ROW(),COLUMN()-1,4))="50131701","Productos de leche o mantequilla frescos",""))</f>
        <v>Productos de leche o mantequilla frescos</v>
      </c>
      <c r="C253" s="41" t="str">
        <f>IFERROR(VLOOKUP("CAJ",'[1]Informacion '!P:Q,2,FALSE),"")</f>
        <v>Caja</v>
      </c>
      <c r="D253" s="39">
        <v>3</v>
      </c>
      <c r="E253" s="42">
        <v>2500</v>
      </c>
      <c r="F253" s="43">
        <f t="shared" ca="1" si="9"/>
        <v>7500</v>
      </c>
    </row>
    <row r="254" spans="1:6" x14ac:dyDescent="0.25">
      <c r="A254" s="39" t="s">
        <v>68</v>
      </c>
      <c r="B254" s="40" t="str">
        <f ca="1">IFERROR(INDEX(UNSPSCDes,MATCH(INDIRECT(ADDRESS(ROW(),COLUMN()-1,4)),UNSPSCCode,0)),IF(INDIRECT(ADDRESS(ROW(),COLUMN()-1,4))="50201706","Café",""))</f>
        <v>Café</v>
      </c>
      <c r="C254" s="41" t="str">
        <f>IFERROR(VLOOKUP("UD",'[1]Informacion '!P:Q,2,FALSE),"")</f>
        <v>Unidad</v>
      </c>
      <c r="D254" s="39">
        <v>5</v>
      </c>
      <c r="E254" s="42">
        <v>6000</v>
      </c>
      <c r="F254" s="43">
        <f t="shared" ca="1" si="9"/>
        <v>30000</v>
      </c>
    </row>
    <row r="255" spans="1:6" x14ac:dyDescent="0.25">
      <c r="A255" s="39" t="s">
        <v>70</v>
      </c>
      <c r="B255" s="40" t="str">
        <f ca="1">IFERROR(INDEX(UNSPSCDes,MATCH(INDIRECT(ADDRESS(ROW(),COLUMN()-1,4)),UNSPSCCode,0)),IF(INDIRECT(ADDRESS(ROW(),COLUMN()-1,4))="50181909","Galletas de soda",""))</f>
        <v>Galletas de soda</v>
      </c>
      <c r="C255" s="41" t="str">
        <f>IFERROR(VLOOKUP("UD",'[1]Informacion '!P:Q,2,FALSE),"")</f>
        <v>Unidad</v>
      </c>
      <c r="D255" s="39">
        <v>14</v>
      </c>
      <c r="E255" s="42">
        <v>1100</v>
      </c>
      <c r="F255" s="43">
        <f t="shared" ca="1" si="9"/>
        <v>15400</v>
      </c>
    </row>
    <row r="256" spans="1:6" x14ac:dyDescent="0.25">
      <c r="A256" s="39" t="s">
        <v>65</v>
      </c>
      <c r="B256" s="40" t="str">
        <f ca="1">IFERROR(INDEX(UNSPSCDes,MATCH(INDIRECT(ADDRESS(ROW(),COLUMN()-1,4)),UNSPSCCode,0)),IF(INDIRECT(ADDRESS(ROW(),COLUMN()-1,4))="50221102","Grano de harina",""))</f>
        <v>Grano de harina</v>
      </c>
      <c r="C256" s="41" t="str">
        <f>IFERROR(VLOOKUP("CAJ",'[1]Informacion '!P:Q,2,FALSE),"")</f>
        <v>Caja</v>
      </c>
      <c r="D256" s="39">
        <v>1</v>
      </c>
      <c r="E256" s="42">
        <v>5100</v>
      </c>
      <c r="F256" s="43">
        <f t="shared" ca="1" si="9"/>
        <v>5100</v>
      </c>
    </row>
    <row r="257" spans="1:6" ht="22.5" x14ac:dyDescent="0.25">
      <c r="A257" s="39" t="s">
        <v>71</v>
      </c>
      <c r="B257" s="40" t="str">
        <f ca="1">IFERROR(INDEX(UNSPSCDes,MATCH(INDIRECT(ADDRESS(ROW(),COLUMN()-1,4)),UNSPSCCode,0)),IF(INDIRECT(ADDRESS(ROW(),COLUMN()-1,4))="50121537","Pescado congelado",""))</f>
        <v>Pescado congelado</v>
      </c>
      <c r="C257" s="41" t="str">
        <f>IFERROR(VLOOKUP("CAJ",'[1]Informacion '!P:Q,2,FALSE),"")</f>
        <v>Caja</v>
      </c>
      <c r="D257" s="39">
        <v>12</v>
      </c>
      <c r="E257" s="42">
        <v>3810</v>
      </c>
      <c r="F257" s="43">
        <f t="shared" ca="1" si="9"/>
        <v>45720</v>
      </c>
    </row>
    <row r="258" spans="1:6" ht="22.5" x14ac:dyDescent="0.25">
      <c r="A258" s="39" t="s">
        <v>71</v>
      </c>
      <c r="B258" s="40" t="str">
        <f ca="1">IFERROR(INDEX(UNSPSCDes,MATCH(INDIRECT(ADDRESS(ROW(),COLUMN()-1,4)),UNSPSCCode,0)),IF(INDIRECT(ADDRESS(ROW(),COLUMN()-1,4))="50121537","Pescado congelado",""))</f>
        <v>Pescado congelado</v>
      </c>
      <c r="C258" s="41" t="str">
        <f>IFERROR(VLOOKUP("CAJ",'[1]Informacion '!P:Q,2,FALSE),"")</f>
        <v>Caja</v>
      </c>
      <c r="D258" s="39">
        <v>5</v>
      </c>
      <c r="E258" s="42">
        <v>10500</v>
      </c>
      <c r="F258" s="43">
        <f t="shared" ca="1" si="9"/>
        <v>52500</v>
      </c>
    </row>
    <row r="259" spans="1:6" x14ac:dyDescent="0.25">
      <c r="A259" s="39" t="s">
        <v>65</v>
      </c>
      <c r="B259" s="40" t="str">
        <f ca="1">IFERROR(INDEX(UNSPSCDes,MATCH(INDIRECT(ADDRESS(ROW(),COLUMN()-1,4)),UNSPSCCode,0)),IF(INDIRECT(ADDRESS(ROW(),COLUMN()-1,4))="50221102","Grano de harina",""))</f>
        <v>Grano de harina</v>
      </c>
      <c r="C259" s="41" t="str">
        <f>IFERROR(VLOOKUP("LB",'[1]Informacion '!P:Q,2,FALSE),"")</f>
        <v>Libra </v>
      </c>
      <c r="D259" s="39">
        <v>60</v>
      </c>
      <c r="E259" s="42">
        <v>35</v>
      </c>
      <c r="F259" s="43">
        <f t="shared" ca="1" si="9"/>
        <v>2100</v>
      </c>
    </row>
    <row r="260" spans="1:6" ht="22.5" x14ac:dyDescent="0.25">
      <c r="A260" s="39" t="s">
        <v>71</v>
      </c>
      <c r="B260" s="40" t="str">
        <f ca="1">IFERROR(INDEX(UNSPSCDes,MATCH(INDIRECT(ADDRESS(ROW(),COLUMN()-1,4)),UNSPSCCode,0)),IF(INDIRECT(ADDRESS(ROW(),COLUMN()-1,4))="50121537","Pescado congelado",""))</f>
        <v>Pescado congelado</v>
      </c>
      <c r="C260" s="41" t="str">
        <f>IFERROR(VLOOKUP("CAJ",'[1]Informacion '!P:Q,2,FALSE),"")</f>
        <v>Caja</v>
      </c>
      <c r="D260" s="39">
        <v>12</v>
      </c>
      <c r="E260" s="42">
        <v>2500</v>
      </c>
      <c r="F260" s="43">
        <f t="shared" ca="1" si="9"/>
        <v>30000</v>
      </c>
    </row>
    <row r="261" spans="1:6" x14ac:dyDescent="0.25">
      <c r="A261" s="39" t="s">
        <v>72</v>
      </c>
      <c r="B261" s="40" t="str">
        <f ca="1">IFERROR(INDEX(UNSPSCDes,MATCH(INDIRECT(ADDRESS(ROW(),COLUMN()-1,4)),UNSPSCCode,0)),IF(INDIRECT(ADDRESS(ROW(),COLUMN()-1,4))="50171551","Sal de mesa",""))</f>
        <v>Sal de mesa</v>
      </c>
      <c r="C261" s="41" t="str">
        <f>IFERROR(VLOOKUP("LB",'[1]Informacion '!P:Q,2,FALSE),"")</f>
        <v>Libra </v>
      </c>
      <c r="D261" s="39">
        <v>200</v>
      </c>
      <c r="E261" s="42">
        <v>16</v>
      </c>
      <c r="F261" s="43">
        <f t="shared" ca="1" si="9"/>
        <v>3200</v>
      </c>
    </row>
    <row r="262" spans="1:6" x14ac:dyDescent="0.25">
      <c r="A262" s="39" t="s">
        <v>73</v>
      </c>
      <c r="B262" s="40" t="str">
        <f ca="1">IFERROR(INDEX(UNSPSCDes,MATCH(INDIRECT(ADDRESS(ROW(),COLUMN()-1,4)),UNSPSCCode,0)),IF(INDIRECT(ADDRESS(ROW(),COLUMN()-1,4))="50171903","Aceitunas",""))</f>
        <v>Aceitunas</v>
      </c>
      <c r="C262" s="41" t="str">
        <f>IFERROR(VLOOKUP("CAJ",'[1]Informacion '!P:Q,2,FALSE),"")</f>
        <v>Caja</v>
      </c>
      <c r="D262" s="39">
        <v>2</v>
      </c>
      <c r="E262" s="42">
        <v>1150</v>
      </c>
      <c r="F262" s="43">
        <f t="shared" ca="1" si="9"/>
        <v>2300</v>
      </c>
    </row>
    <row r="263" spans="1:6" x14ac:dyDescent="0.25">
      <c r="A263" s="39" t="s">
        <v>73</v>
      </c>
      <c r="B263" s="40" t="str">
        <f ca="1">IFERROR(INDEX(UNSPSCDes,MATCH(INDIRECT(ADDRESS(ROW(),COLUMN()-1,4)),UNSPSCCode,0)),IF(INDIRECT(ADDRESS(ROW(),COLUMN()-1,4))="50171903","Aceitunas",""))</f>
        <v>Aceitunas</v>
      </c>
      <c r="C263" s="41" t="str">
        <f>IFERROR(VLOOKUP("CAJ",'[1]Informacion '!P:Q,2,FALSE),"")</f>
        <v>Caja</v>
      </c>
      <c r="D263" s="39">
        <v>2</v>
      </c>
      <c r="E263" s="42">
        <v>1150</v>
      </c>
      <c r="F263" s="43">
        <f t="shared" ca="1" si="9"/>
        <v>2300</v>
      </c>
    </row>
    <row r="264" spans="1:6" ht="27" customHeight="1" x14ac:dyDescent="0.25">
      <c r="A264" s="39" t="s">
        <v>63</v>
      </c>
      <c r="B264" s="40" t="str">
        <f ca="1">IFERROR(INDEX(UNSPSCDes,MATCH(INDIRECT(ADDRESS(ROW(),COLUMN()-1,4)),UNSPSCCode,0)),IF(INDIRECT(ADDRESS(ROW(),COLUMN()-1,4))="50131701","Productos de leche o mantequilla frescos",""))</f>
        <v>Productos de leche o mantequilla frescos</v>
      </c>
      <c r="C264" s="41" t="str">
        <f>IFERROR(VLOOKUP("CAJ",'[1]Informacion '!P:Q,2,FALSE),"")</f>
        <v>Caja</v>
      </c>
      <c r="D264" s="39">
        <v>1</v>
      </c>
      <c r="E264" s="42">
        <v>3258.75</v>
      </c>
      <c r="F264" s="43">
        <f t="shared" ca="1" si="9"/>
        <v>3258.75</v>
      </c>
    </row>
    <row r="265" spans="1:6" ht="21" customHeight="1" x14ac:dyDescent="0.25">
      <c r="A265" s="39" t="s">
        <v>45</v>
      </c>
      <c r="B265" s="40" t="str">
        <f ca="1">IFERROR(INDEX(UNSPSCDes,MATCH(INDIRECT(ADDRESS(ROW(),COLUMN()-1,4)),UNSPSCCode,0)),IF(INDIRECT(ADDRESS(ROW(),COLUMN()-1,4))="50151513","Aceites vegetales o  de planta comestibles",""))</f>
        <v>Aceites vegetales o  de planta comestibles</v>
      </c>
      <c r="C265" s="41" t="str">
        <f>IFERROR(VLOOKUP("LB",'[1]Informacion '!P:Q,2,FALSE),"")</f>
        <v>Libra </v>
      </c>
      <c r="D265" s="39">
        <v>10</v>
      </c>
      <c r="E265" s="42">
        <v>420</v>
      </c>
      <c r="F265" s="43">
        <f t="shared" ca="1" si="9"/>
        <v>4200</v>
      </c>
    </row>
    <row r="266" spans="1:6" ht="18" customHeight="1" x14ac:dyDescent="0.25">
      <c r="A266" s="39" t="s">
        <v>77</v>
      </c>
      <c r="B266" s="40" t="str">
        <f ca="1">IFERROR(INDEX(UNSPSCDes,MATCH(INDIRECT(ADDRESS(ROW(),COLUMN()-1,4)),UNSPSCCode,0)),IF(INDIRECT(ADDRESS(ROW(),COLUMN()-1,4))="50171832","Salsas para ensaladas o dips",""))</f>
        <v>Salsas para ensaladas o dips</v>
      </c>
      <c r="C266" s="41" t="str">
        <f>IFERROR(VLOOKUP("GAL",'[1]Informacion '!P:Q,2,FALSE),"")</f>
        <v>Galón</v>
      </c>
      <c r="D266" s="39">
        <v>1</v>
      </c>
      <c r="E266" s="42">
        <v>1000</v>
      </c>
      <c r="F266" s="43">
        <f t="shared" ca="1" si="9"/>
        <v>1000</v>
      </c>
    </row>
    <row r="267" spans="1:6" ht="18.75" customHeight="1" x14ac:dyDescent="0.25">
      <c r="A267" s="39" t="s">
        <v>67</v>
      </c>
      <c r="B267" s="40" t="str">
        <f ca="1">IFERROR(INDEX(UNSPSCDes,MATCH(INDIRECT(ADDRESS(ROW(),COLUMN()-1,4)),UNSPSCCode,0)),IF(INDIRECT(ADDRESS(ROW(),COLUMN()-1,4))="50171707","Vinagres",""))</f>
        <v>Vinagres</v>
      </c>
      <c r="C267" s="41" t="str">
        <f>IFERROR(VLOOKUP("CAJ",'[1]Informacion '!P:Q,2,FALSE),"")</f>
        <v>Caja</v>
      </c>
      <c r="D267" s="39">
        <v>4</v>
      </c>
      <c r="E267" s="42">
        <v>1650</v>
      </c>
      <c r="F267" s="43">
        <f t="shared" ca="1" si="9"/>
        <v>6600</v>
      </c>
    </row>
    <row r="268" spans="1:6" x14ac:dyDescent="0.25">
      <c r="A268" s="46"/>
      <c r="B268" s="46"/>
      <c r="C268" s="46"/>
      <c r="D268" s="46"/>
      <c r="E268" s="44" t="s">
        <v>46</v>
      </c>
      <c r="F268" s="45">
        <f ca="1">SUM(Table9[MONTO TOTAL ESTIMADO])</f>
        <v>526954.75</v>
      </c>
    </row>
    <row r="269" spans="1:6" ht="15.75" thickBot="1" x14ac:dyDescent="0.3">
      <c r="A269" s="46"/>
      <c r="B269" s="46"/>
      <c r="C269" s="46"/>
      <c r="D269" s="46"/>
      <c r="E269" s="46"/>
      <c r="F269" s="46"/>
    </row>
    <row r="270" spans="1:6" ht="34.5" thickBot="1" x14ac:dyDescent="0.3">
      <c r="A270" s="29" t="s">
        <v>18</v>
      </c>
      <c r="B270" s="29" t="s">
        <v>19</v>
      </c>
      <c r="C270" s="29" t="s">
        <v>20</v>
      </c>
      <c r="D270" s="29" t="s">
        <v>21</v>
      </c>
      <c r="E270" s="29" t="s">
        <v>22</v>
      </c>
      <c r="F270" s="29" t="s">
        <v>23</v>
      </c>
    </row>
    <row r="271" spans="1:6" ht="15.75" thickBot="1" x14ac:dyDescent="0.3">
      <c r="A271" s="30" t="s">
        <v>56</v>
      </c>
      <c r="B271" s="30" t="s">
        <v>78</v>
      </c>
      <c r="C271" s="30" t="s">
        <v>26</v>
      </c>
      <c r="D271" s="30" t="s">
        <v>27</v>
      </c>
      <c r="E271" s="30" t="s">
        <v>28</v>
      </c>
      <c r="F271" s="30" t="s">
        <v>17</v>
      </c>
    </row>
    <row r="272" spans="1:6" ht="15.75" thickBot="1" x14ac:dyDescent="0.3">
      <c r="A272" s="31" t="s">
        <v>29</v>
      </c>
      <c r="B272" s="32" t="s">
        <v>30</v>
      </c>
      <c r="C272" s="33">
        <v>46267</v>
      </c>
      <c r="D272" s="31" t="s">
        <v>31</v>
      </c>
      <c r="E272" s="34" t="s">
        <v>32</v>
      </c>
      <c r="F272" s="35" t="s">
        <v>33</v>
      </c>
    </row>
    <row r="273" spans="1:6" ht="15.75" thickBot="1" x14ac:dyDescent="0.3">
      <c r="A273" s="36"/>
      <c r="B273" s="32" t="s">
        <v>34</v>
      </c>
      <c r="C273" s="37">
        <f>IF(C272="","",IF(AND(MONTH(C272)&gt;=1,MONTH(C272)&lt;=3),1,IF(AND(MONTH(C272)&gt;=4,MONTH(C272)&lt;=6),2,IF(AND(MONTH(C272)&gt;=7,MONTH(C272)&lt;=9),3,4))))</f>
        <v>3</v>
      </c>
      <c r="D273" s="36"/>
      <c r="E273" s="34" t="s">
        <v>35</v>
      </c>
      <c r="F273" s="35"/>
    </row>
    <row r="274" spans="1:6" ht="15.75" thickBot="1" x14ac:dyDescent="0.3">
      <c r="A274" s="36"/>
      <c r="B274" s="32" t="s">
        <v>36</v>
      </c>
      <c r="C274" s="33">
        <v>46270</v>
      </c>
      <c r="D274" s="36"/>
      <c r="E274" s="34" t="s">
        <v>37</v>
      </c>
      <c r="F274" s="35"/>
    </row>
    <row r="275" spans="1:6" ht="15.75" thickBot="1" x14ac:dyDescent="0.3">
      <c r="A275" s="36"/>
      <c r="B275" s="32" t="s">
        <v>34</v>
      </c>
      <c r="C275" s="37">
        <f>IF(C274="","",IF(AND(MONTH(C274)&gt;=1,MONTH(C274)&lt;=3),1,IF(AND(MONTH(C274)&gt;=4,MONTH(C274)&lt;=6),2,IF(AND(MONTH(C274)&gt;=7,MONTH(C274)&lt;=9),3,4))))</f>
        <v>3</v>
      </c>
      <c r="D275" s="36"/>
      <c r="E275" s="34" t="s">
        <v>38</v>
      </c>
      <c r="F275" s="35"/>
    </row>
    <row r="276" spans="1:6" ht="15.75" thickBot="1" x14ac:dyDescent="0.3">
      <c r="A276" s="46"/>
      <c r="B276" s="46"/>
      <c r="C276" s="46"/>
      <c r="D276" s="46"/>
      <c r="E276" s="46"/>
      <c r="F276" s="46"/>
    </row>
    <row r="277" spans="1:6" ht="15.75" thickBot="1" x14ac:dyDescent="0.3">
      <c r="A277" s="38" t="s">
        <v>39</v>
      </c>
      <c r="B277" s="38" t="s">
        <v>40</v>
      </c>
      <c r="C277" s="38" t="s">
        <v>41</v>
      </c>
      <c r="D277" s="38" t="s">
        <v>42</v>
      </c>
      <c r="E277" s="38" t="s">
        <v>43</v>
      </c>
      <c r="F277" s="38" t="s">
        <v>44</v>
      </c>
    </row>
    <row r="278" spans="1:6" ht="23.25" customHeight="1" x14ac:dyDescent="0.25">
      <c r="A278" s="39" t="s">
        <v>45</v>
      </c>
      <c r="B278" s="40" t="str">
        <f ca="1">IFERROR(INDEX(UNSPSCDes,MATCH(INDIRECT(ADDRESS(ROW(),COLUMN()-1,4)),UNSPSCCode,0)),IF(INDIRECT(ADDRESS(ROW(),COLUMN()-1,4))="50151513","Aceites vegetales o  de planta comestibles",""))</f>
        <v>Aceites vegetales o  de planta comestibles</v>
      </c>
      <c r="C278" s="41" t="str">
        <f>IFERROR(VLOOKUP("UD",'[1]Informacion '!P:Q,2,FALSE),"")</f>
        <v>Unidad</v>
      </c>
      <c r="D278" s="39">
        <v>10</v>
      </c>
      <c r="E278" s="42">
        <v>2280</v>
      </c>
      <c r="F278" s="43">
        <f t="shared" ref="F278:F308" ca="1" si="10">INDIRECT(ADDRESS(ROW(),COLUMN()-2,4))*INDIRECT(ADDRESS(ROW(),COLUMN()-1,4))</f>
        <v>22800</v>
      </c>
    </row>
    <row r="279" spans="1:6" x14ac:dyDescent="0.25">
      <c r="A279" s="39" t="s">
        <v>58</v>
      </c>
      <c r="B279" s="40" t="str">
        <f ca="1">IFERROR(INDEX(UNSPSCDes,MATCH(INDIRECT(ADDRESS(ROW(),COLUMN()-1,4)),UNSPSCCode,0)),IF(INDIRECT(ADDRESS(ROW(),COLUMN()-1,4))="50221101","Grano de cereal",""))</f>
        <v>Grano de cereal</v>
      </c>
      <c r="C279" s="41" t="str">
        <f>IFERROR(VLOOKUP("UD",'[1]Informacion '!P:Q,2,FALSE),"")</f>
        <v>Unidad</v>
      </c>
      <c r="D279" s="39">
        <v>48</v>
      </c>
      <c r="E279" s="42">
        <v>100</v>
      </c>
      <c r="F279" s="43">
        <f t="shared" ca="1" si="10"/>
        <v>4800</v>
      </c>
    </row>
    <row r="280" spans="1:6" x14ac:dyDescent="0.25">
      <c r="A280" s="39" t="s">
        <v>59</v>
      </c>
      <c r="B280" s="40" t="str">
        <f ca="1">IFERROR(INDEX(UNSPSCDes,MATCH(INDIRECT(ADDRESS(ROW(),COLUMN()-1,4)),UNSPSCCode,0)),IF(INDIRECT(ADDRESS(ROW(),COLUMN()-1,4))="50101543","Judías secas",""))</f>
        <v>Judías secas</v>
      </c>
      <c r="C280" s="41" t="str">
        <f>IFERROR(VLOOKUP("UD",'[1]Informacion '!P:Q,2,FALSE),"")</f>
        <v>Unidad</v>
      </c>
      <c r="D280" s="39">
        <v>12</v>
      </c>
      <c r="E280" s="42">
        <v>2400</v>
      </c>
      <c r="F280" s="43">
        <f t="shared" ca="1" si="10"/>
        <v>28800</v>
      </c>
    </row>
    <row r="281" spans="1:6" x14ac:dyDescent="0.25">
      <c r="A281" s="39" t="s">
        <v>58</v>
      </c>
      <c r="B281" s="40" t="str">
        <f ca="1">IFERROR(INDEX(UNSPSCDes,MATCH(INDIRECT(ADDRESS(ROW(),COLUMN()-1,4)),UNSPSCCode,0)),IF(INDIRECT(ADDRESS(ROW(),COLUMN()-1,4))="50221101","Grano de cereal",""))</f>
        <v>Grano de cereal</v>
      </c>
      <c r="C281" s="41" t="str">
        <f>IFERROR(VLOOKUP("UD",'[1]Informacion '!P:Q,2,FALSE),"")</f>
        <v>Unidad</v>
      </c>
      <c r="D281" s="39">
        <v>2875</v>
      </c>
      <c r="E281" s="42">
        <v>27</v>
      </c>
      <c r="F281" s="43">
        <f t="shared" ca="1" si="10"/>
        <v>77625</v>
      </c>
    </row>
    <row r="282" spans="1:6" ht="21.75" customHeight="1" x14ac:dyDescent="0.25">
      <c r="A282" s="39" t="s">
        <v>60</v>
      </c>
      <c r="B282" s="40" t="str">
        <f ca="1">IFERROR(INDEX(UNSPSCDes,MATCH(INDIRECT(ADDRESS(ROW(),COLUMN()-1,4)),UNSPSCCode,0)),IF(INDIRECT(ADDRESS(ROW(),COLUMN()-1,4))="50161814","Azúcar o sustituto de azúcar, confite",""))</f>
        <v>Azúcar o sustituto de azúcar, confite</v>
      </c>
      <c r="C282" s="41" t="str">
        <f>IFERROR(VLOOKUP("UD",'[1]Informacion '!P:Q,2,FALSE),"")</f>
        <v>Unidad</v>
      </c>
      <c r="D282" s="39">
        <v>625</v>
      </c>
      <c r="E282" s="42">
        <v>30</v>
      </c>
      <c r="F282" s="43">
        <f t="shared" ca="1" si="10"/>
        <v>18750</v>
      </c>
    </row>
    <row r="283" spans="1:6" ht="22.5" customHeight="1" x14ac:dyDescent="0.25">
      <c r="A283" s="39" t="s">
        <v>61</v>
      </c>
      <c r="B283" s="40" t="str">
        <f ca="1">IFERROR(INDEX(UNSPSCDes,MATCH(INDIRECT(ADDRESS(ROW(),COLUMN()-1,4)),UNSPSCCode,0)),IF(INDIRECT(ADDRESS(ROW(),COLUMN()-1,4))="50161511","Chocolate o sustituto de chocolate",""))</f>
        <v>Chocolate o sustituto de chocolate</v>
      </c>
      <c r="C283" s="41" t="str">
        <f>IFERROR(VLOOKUP("UD",'[1]Informacion '!P:Q,2,FALSE),"")</f>
        <v>Unidad</v>
      </c>
      <c r="D283" s="39">
        <v>2</v>
      </c>
      <c r="E283" s="42">
        <v>7000</v>
      </c>
      <c r="F283" s="43">
        <f t="shared" ca="1" si="10"/>
        <v>14000</v>
      </c>
    </row>
    <row r="284" spans="1:6" ht="22.5" x14ac:dyDescent="0.25">
      <c r="A284" s="39" t="s">
        <v>62</v>
      </c>
      <c r="B284" s="40" t="str">
        <f ca="1">IFERROR(INDEX(UNSPSCDes,MATCH(INDIRECT(ADDRESS(ROW(),COLUMN()-1,4)),UNSPSCCode,0)),IF(INDIRECT(ADDRESS(ROW(),COLUMN()-1,4))="50192901","Pasta sencilla o fideos",""))</f>
        <v>Pasta sencilla o fideos</v>
      </c>
      <c r="C284" s="41" t="str">
        <f>IFERROR(VLOOKUP("UD",'[1]Informacion '!P:Q,2,FALSE),"")</f>
        <v>Unidad</v>
      </c>
      <c r="D284" s="39">
        <v>20</v>
      </c>
      <c r="E284" s="42">
        <v>45</v>
      </c>
      <c r="F284" s="43">
        <f t="shared" ca="1" si="10"/>
        <v>900</v>
      </c>
    </row>
    <row r="285" spans="1:6" ht="22.5" x14ac:dyDescent="0.25">
      <c r="A285" s="39" t="s">
        <v>62</v>
      </c>
      <c r="B285" s="40" t="str">
        <f ca="1">IFERROR(INDEX(UNSPSCDes,MATCH(INDIRECT(ADDRESS(ROW(),COLUMN()-1,4)),UNSPSCCode,0)),IF(INDIRECT(ADDRESS(ROW(),COLUMN()-1,4))="50192901","Pasta sencilla o fideos",""))</f>
        <v>Pasta sencilla o fideos</v>
      </c>
      <c r="C285" s="41" t="str">
        <f>IFERROR(VLOOKUP("UD",'[1]Informacion '!P:Q,2,FALSE),"")</f>
        <v>Unidad</v>
      </c>
      <c r="D285" s="39">
        <v>20</v>
      </c>
      <c r="E285" s="42">
        <v>45</v>
      </c>
      <c r="F285" s="43">
        <f t="shared" ca="1" si="10"/>
        <v>900</v>
      </c>
    </row>
    <row r="286" spans="1:6" ht="22.5" x14ac:dyDescent="0.25">
      <c r="A286" s="39" t="s">
        <v>62</v>
      </c>
      <c r="B286" s="40" t="str">
        <f ca="1">IFERROR(INDEX(UNSPSCDes,MATCH(INDIRECT(ADDRESS(ROW(),COLUMN()-1,4)),UNSPSCCode,0)),IF(INDIRECT(ADDRESS(ROW(),COLUMN()-1,4))="50192901","Pasta sencilla o fideos",""))</f>
        <v>Pasta sencilla o fideos</v>
      </c>
      <c r="C286" s="41" t="str">
        <f>IFERROR(VLOOKUP("UD",'[1]Informacion '!P:Q,2,FALSE),"")</f>
        <v>Unidad</v>
      </c>
      <c r="D286" s="39">
        <v>20</v>
      </c>
      <c r="E286" s="42">
        <v>45</v>
      </c>
      <c r="F286" s="43">
        <f t="shared" ca="1" si="10"/>
        <v>900</v>
      </c>
    </row>
    <row r="287" spans="1:6" ht="21.75" customHeight="1" x14ac:dyDescent="0.25">
      <c r="A287" s="39" t="s">
        <v>63</v>
      </c>
      <c r="B287" s="40" t="str">
        <f ca="1">IFERROR(INDEX(UNSPSCDes,MATCH(INDIRECT(ADDRESS(ROW(),COLUMN()-1,4)),UNSPSCCode,0)),IF(INDIRECT(ADDRESS(ROW(),COLUMN()-1,4))="50131701","Productos de leche o mantequilla frescos",""))</f>
        <v>Productos de leche o mantequilla frescos</v>
      </c>
      <c r="C287" s="41" t="str">
        <f>IFERROR(VLOOKUP("UD",'[1]Informacion '!P:Q,2,FALSE),"")</f>
        <v>Unidad</v>
      </c>
      <c r="D287" s="39">
        <v>10</v>
      </c>
      <c r="E287" s="42">
        <v>9300</v>
      </c>
      <c r="F287" s="43">
        <f t="shared" ca="1" si="10"/>
        <v>93000</v>
      </c>
    </row>
    <row r="288" spans="1:6" x14ac:dyDescent="0.25">
      <c r="A288" s="39" t="s">
        <v>64</v>
      </c>
      <c r="B288" s="40" t="str">
        <f ca="1">IFERROR(INDEX(UNSPSCDes,MATCH(INDIRECT(ADDRESS(ROW(),COLUMN()-1,4)),UNSPSCCode,0)),IF(INDIRECT(ADDRESS(ROW(),COLUMN()-1,4))="50192112","Maíz pira",""))</f>
        <v>Maíz pira</v>
      </c>
      <c r="C288" s="41" t="str">
        <f>IFERROR(VLOOKUP("UD",'[1]Informacion '!P:Q,2,FALSE),"")</f>
        <v>Unidad</v>
      </c>
      <c r="D288" s="39">
        <v>10</v>
      </c>
      <c r="E288" s="42">
        <v>1504.35</v>
      </c>
      <c r="F288" s="43">
        <f t="shared" ca="1" si="10"/>
        <v>15043.5</v>
      </c>
    </row>
    <row r="289" spans="1:6" x14ac:dyDescent="0.25">
      <c r="A289" s="39" t="s">
        <v>65</v>
      </c>
      <c r="B289" s="40" t="str">
        <f ca="1">IFERROR(INDEX(UNSPSCDes,MATCH(INDIRECT(ADDRESS(ROW(),COLUMN()-1,4)),UNSPSCCode,0)),IF(INDIRECT(ADDRESS(ROW(),COLUMN()-1,4))="50221102","Grano de harina",""))</f>
        <v>Grano de harina</v>
      </c>
      <c r="C289" s="41" t="str">
        <f>IFERROR(VLOOKUP("UD",'[1]Informacion '!P:Q,2,FALSE),"")</f>
        <v>Unidad</v>
      </c>
      <c r="D289" s="39">
        <v>2</v>
      </c>
      <c r="E289" s="42">
        <v>3900</v>
      </c>
      <c r="F289" s="43">
        <f t="shared" ca="1" si="10"/>
        <v>7800</v>
      </c>
    </row>
    <row r="290" spans="1:6" ht="15.75" customHeight="1" x14ac:dyDescent="0.25">
      <c r="A290" s="39" t="s">
        <v>66</v>
      </c>
      <c r="B290" s="40" t="str">
        <f ca="1">IFERROR(INDEX(UNSPSCDes,MATCH(INDIRECT(ADDRESS(ROW(),COLUMN()-1,4)),UNSPSCCode,0)),IF(INDIRECT(ADDRESS(ROW(),COLUMN()-1,4))="50171831","Salsas para cocinar",""))</f>
        <v>Salsas para cocinar</v>
      </c>
      <c r="C290" s="41" t="str">
        <f>IFERROR(VLOOKUP("UD",'[1]Informacion '!P:Q,2,FALSE),"")</f>
        <v>Unidad</v>
      </c>
      <c r="D290" s="39">
        <v>5</v>
      </c>
      <c r="E290" s="42">
        <v>4100</v>
      </c>
      <c r="F290" s="43">
        <f t="shared" ca="1" si="10"/>
        <v>20500</v>
      </c>
    </row>
    <row r="291" spans="1:6" x14ac:dyDescent="0.25">
      <c r="A291" s="39" t="s">
        <v>65</v>
      </c>
      <c r="B291" s="40" t="str">
        <f ca="1">IFERROR(INDEX(UNSPSCDes,MATCH(INDIRECT(ADDRESS(ROW(),COLUMN()-1,4)),UNSPSCCode,0)),IF(INDIRECT(ADDRESS(ROW(),COLUMN()-1,4))="50221102","Grano de harina",""))</f>
        <v>Grano de harina</v>
      </c>
      <c r="C291" s="41" t="str">
        <f>IFERROR(VLOOKUP("UD",'[1]Informacion '!P:Q,2,FALSE),"")</f>
        <v>Unidad</v>
      </c>
      <c r="D291" s="39">
        <v>100</v>
      </c>
      <c r="E291" s="42">
        <v>45</v>
      </c>
      <c r="F291" s="43">
        <f t="shared" ca="1" si="10"/>
        <v>4500</v>
      </c>
    </row>
    <row r="292" spans="1:6" x14ac:dyDescent="0.25">
      <c r="A292" s="39" t="s">
        <v>65</v>
      </c>
      <c r="B292" s="40" t="str">
        <f ca="1">IFERROR(INDEX(UNSPSCDes,MATCH(INDIRECT(ADDRESS(ROW(),COLUMN()-1,4)),UNSPSCCode,0)),IF(INDIRECT(ADDRESS(ROW(),COLUMN()-1,4))="50221102","Grano de harina",""))</f>
        <v>Grano de harina</v>
      </c>
      <c r="C292" s="41" t="str">
        <f>IFERROR(VLOOKUP("UD",'[1]Informacion '!P:Q,2,FALSE),"")</f>
        <v>Unidad</v>
      </c>
      <c r="D292" s="39">
        <v>50</v>
      </c>
      <c r="E292" s="42">
        <v>22.15</v>
      </c>
      <c r="F292" s="43">
        <f t="shared" ca="1" si="10"/>
        <v>1107.5</v>
      </c>
    </row>
    <row r="293" spans="1:6" x14ac:dyDescent="0.25">
      <c r="A293" s="39" t="s">
        <v>67</v>
      </c>
      <c r="B293" s="40" t="str">
        <f ca="1">IFERROR(INDEX(UNSPSCDes,MATCH(INDIRECT(ADDRESS(ROW(),COLUMN()-1,4)),UNSPSCCode,0)),IF(INDIRECT(ADDRESS(ROW(),COLUMN()-1,4))="50171707","Vinagres",""))</f>
        <v>Vinagres</v>
      </c>
      <c r="C293" s="41" t="str">
        <f>IFERROR(VLOOKUP("UD",'[1]Informacion '!P:Q,2,FALSE),"")</f>
        <v>Unidad</v>
      </c>
      <c r="D293" s="39">
        <v>5</v>
      </c>
      <c r="E293" s="42">
        <v>1650</v>
      </c>
      <c r="F293" s="43">
        <f t="shared" ca="1" si="10"/>
        <v>8250</v>
      </c>
    </row>
    <row r="294" spans="1:6" ht="21" customHeight="1" x14ac:dyDescent="0.25">
      <c r="A294" s="39" t="s">
        <v>63</v>
      </c>
      <c r="B294" s="40" t="str">
        <f ca="1">IFERROR(INDEX(UNSPSCDes,MATCH(INDIRECT(ADDRESS(ROW(),COLUMN()-1,4)),UNSPSCCode,0)),IF(INDIRECT(ADDRESS(ROW(),COLUMN()-1,4))="50131701","Productos de leche o mantequilla frescos",""))</f>
        <v>Productos de leche o mantequilla frescos</v>
      </c>
      <c r="C294" s="41" t="str">
        <f>IFERROR(VLOOKUP("UD",'[1]Informacion '!P:Q,2,FALSE),"")</f>
        <v>Unidad</v>
      </c>
      <c r="D294" s="39">
        <v>3</v>
      </c>
      <c r="E294" s="42">
        <v>2500</v>
      </c>
      <c r="F294" s="43">
        <f t="shared" ca="1" si="10"/>
        <v>7500</v>
      </c>
    </row>
    <row r="295" spans="1:6" x14ac:dyDescent="0.25">
      <c r="A295" s="39" t="s">
        <v>68</v>
      </c>
      <c r="B295" s="40" t="str">
        <f ca="1">IFERROR(INDEX(UNSPSCDes,MATCH(INDIRECT(ADDRESS(ROW(),COLUMN()-1,4)),UNSPSCCode,0)),IF(INDIRECT(ADDRESS(ROW(),COLUMN()-1,4))="50201706","Café",""))</f>
        <v>Café</v>
      </c>
      <c r="C295" s="41" t="str">
        <f>IFERROR(VLOOKUP("UD",'[1]Informacion '!P:Q,2,FALSE),"")</f>
        <v>Unidad</v>
      </c>
      <c r="D295" s="39">
        <v>5</v>
      </c>
      <c r="E295" s="42">
        <v>6000</v>
      </c>
      <c r="F295" s="43">
        <f t="shared" ca="1" si="10"/>
        <v>30000</v>
      </c>
    </row>
    <row r="296" spans="1:6" x14ac:dyDescent="0.25">
      <c r="A296" s="39" t="s">
        <v>70</v>
      </c>
      <c r="B296" s="40" t="str">
        <f ca="1">IFERROR(INDEX(UNSPSCDes,MATCH(INDIRECT(ADDRESS(ROW(),COLUMN()-1,4)),UNSPSCCode,0)),IF(INDIRECT(ADDRESS(ROW(),COLUMN()-1,4))="50181909","Galletas de soda",""))</f>
        <v>Galletas de soda</v>
      </c>
      <c r="C296" s="41" t="str">
        <f>IFERROR(VLOOKUP("UD",'[1]Informacion '!P:Q,2,FALSE),"")</f>
        <v>Unidad</v>
      </c>
      <c r="D296" s="39">
        <v>14</v>
      </c>
      <c r="E296" s="42">
        <v>1100</v>
      </c>
      <c r="F296" s="43">
        <f t="shared" ca="1" si="10"/>
        <v>15400</v>
      </c>
    </row>
    <row r="297" spans="1:6" x14ac:dyDescent="0.25">
      <c r="A297" s="39" t="s">
        <v>65</v>
      </c>
      <c r="B297" s="40" t="str">
        <f ca="1">IFERROR(INDEX(UNSPSCDes,MATCH(INDIRECT(ADDRESS(ROW(),COLUMN()-1,4)),UNSPSCCode,0)),IF(INDIRECT(ADDRESS(ROW(),COLUMN()-1,4))="50221102","Grano de harina",""))</f>
        <v>Grano de harina</v>
      </c>
      <c r="C297" s="41" t="str">
        <f>IFERROR(VLOOKUP("UD",'[1]Informacion '!P:Q,2,FALSE),"")</f>
        <v>Unidad</v>
      </c>
      <c r="D297" s="39">
        <v>1</v>
      </c>
      <c r="E297" s="42">
        <v>5100</v>
      </c>
      <c r="F297" s="43">
        <f t="shared" ca="1" si="10"/>
        <v>5100</v>
      </c>
    </row>
    <row r="298" spans="1:6" ht="22.5" x14ac:dyDescent="0.25">
      <c r="A298" s="39" t="s">
        <v>71</v>
      </c>
      <c r="B298" s="40" t="str">
        <f ca="1">IFERROR(INDEX(UNSPSCDes,MATCH(INDIRECT(ADDRESS(ROW(),COLUMN()-1,4)),UNSPSCCode,0)),IF(INDIRECT(ADDRESS(ROW(),COLUMN()-1,4))="50121537","Pescado congelado",""))</f>
        <v>Pescado congelado</v>
      </c>
      <c r="C298" s="41" t="str">
        <f>IFERROR(VLOOKUP("UD",'[1]Informacion '!P:Q,2,FALSE),"")</f>
        <v>Unidad</v>
      </c>
      <c r="D298" s="39">
        <v>12</v>
      </c>
      <c r="E298" s="42">
        <v>3810</v>
      </c>
      <c r="F298" s="43">
        <f t="shared" ca="1" si="10"/>
        <v>45720</v>
      </c>
    </row>
    <row r="299" spans="1:6" ht="22.5" x14ac:dyDescent="0.25">
      <c r="A299" s="39" t="s">
        <v>71</v>
      </c>
      <c r="B299" s="40" t="str">
        <f ca="1">IFERROR(INDEX(UNSPSCDes,MATCH(INDIRECT(ADDRESS(ROW(),COLUMN()-1,4)),UNSPSCCode,0)),IF(INDIRECT(ADDRESS(ROW(),COLUMN()-1,4))="50121537","Pescado congelado",""))</f>
        <v>Pescado congelado</v>
      </c>
      <c r="C299" s="41" t="str">
        <f>IFERROR(VLOOKUP("UD",'[1]Informacion '!P:Q,2,FALSE),"")</f>
        <v>Unidad</v>
      </c>
      <c r="D299" s="39">
        <v>5</v>
      </c>
      <c r="E299" s="42">
        <v>10500</v>
      </c>
      <c r="F299" s="43">
        <f t="shared" ca="1" si="10"/>
        <v>52500</v>
      </c>
    </row>
    <row r="300" spans="1:6" x14ac:dyDescent="0.25">
      <c r="A300" s="39" t="s">
        <v>65</v>
      </c>
      <c r="B300" s="40" t="str">
        <f ca="1">IFERROR(INDEX(UNSPSCDes,MATCH(INDIRECT(ADDRESS(ROW(),COLUMN()-1,4)),UNSPSCCode,0)),IF(INDIRECT(ADDRESS(ROW(),COLUMN()-1,4))="50221102","Grano de harina",""))</f>
        <v>Grano de harina</v>
      </c>
      <c r="C300" s="41" t="str">
        <f>IFERROR(VLOOKUP("UD",'[1]Informacion '!P:Q,2,FALSE),"")</f>
        <v>Unidad</v>
      </c>
      <c r="D300" s="39">
        <v>60</v>
      </c>
      <c r="E300" s="42">
        <v>35</v>
      </c>
      <c r="F300" s="43">
        <f t="shared" ca="1" si="10"/>
        <v>2100</v>
      </c>
    </row>
    <row r="301" spans="1:6" ht="22.5" x14ac:dyDescent="0.25">
      <c r="A301" s="39" t="s">
        <v>71</v>
      </c>
      <c r="B301" s="40" t="str">
        <f ca="1">IFERROR(INDEX(UNSPSCDes,MATCH(INDIRECT(ADDRESS(ROW(),COLUMN()-1,4)),UNSPSCCode,0)),IF(INDIRECT(ADDRESS(ROW(),COLUMN()-1,4))="50121537","Pescado congelado",""))</f>
        <v>Pescado congelado</v>
      </c>
      <c r="C301" s="41" t="str">
        <f>IFERROR(VLOOKUP("UD",'[1]Informacion '!P:Q,2,FALSE),"")</f>
        <v>Unidad</v>
      </c>
      <c r="D301" s="39">
        <v>12</v>
      </c>
      <c r="E301" s="42">
        <v>2500</v>
      </c>
      <c r="F301" s="43">
        <f t="shared" ca="1" si="10"/>
        <v>30000</v>
      </c>
    </row>
    <row r="302" spans="1:6" x14ac:dyDescent="0.25">
      <c r="A302" s="39" t="s">
        <v>72</v>
      </c>
      <c r="B302" s="40" t="str">
        <f ca="1">IFERROR(INDEX(UNSPSCDes,MATCH(INDIRECT(ADDRESS(ROW(),COLUMN()-1,4)),UNSPSCCode,0)),IF(INDIRECT(ADDRESS(ROW(),COLUMN()-1,4))="50171551","Sal de mesa",""))</f>
        <v>Sal de mesa</v>
      </c>
      <c r="C302" s="41" t="str">
        <f>IFERROR(VLOOKUP("UD",'[1]Informacion '!P:Q,2,FALSE),"")</f>
        <v>Unidad</v>
      </c>
      <c r="D302" s="39">
        <v>200</v>
      </c>
      <c r="E302" s="42">
        <v>16</v>
      </c>
      <c r="F302" s="43">
        <f t="shared" ca="1" si="10"/>
        <v>3200</v>
      </c>
    </row>
    <row r="303" spans="1:6" x14ac:dyDescent="0.25">
      <c r="A303" s="39" t="s">
        <v>73</v>
      </c>
      <c r="B303" s="40" t="str">
        <f ca="1">IFERROR(INDEX(UNSPSCDes,MATCH(INDIRECT(ADDRESS(ROW(),COLUMN()-1,4)),UNSPSCCode,0)),IF(INDIRECT(ADDRESS(ROW(),COLUMN()-1,4))="50171903","Aceitunas",""))</f>
        <v>Aceitunas</v>
      </c>
      <c r="C303" s="41" t="str">
        <f>IFERROR(VLOOKUP("UD",'[1]Informacion '!P:Q,2,FALSE),"")</f>
        <v>Unidad</v>
      </c>
      <c r="D303" s="39">
        <v>2</v>
      </c>
      <c r="E303" s="42">
        <v>1150</v>
      </c>
      <c r="F303" s="43">
        <f t="shared" ca="1" si="10"/>
        <v>2300</v>
      </c>
    </row>
    <row r="304" spans="1:6" x14ac:dyDescent="0.25">
      <c r="A304" s="39" t="s">
        <v>73</v>
      </c>
      <c r="B304" s="40" t="str">
        <f ca="1">IFERROR(INDEX(UNSPSCDes,MATCH(INDIRECT(ADDRESS(ROW(),COLUMN()-1,4)),UNSPSCCode,0)),IF(INDIRECT(ADDRESS(ROW(),COLUMN()-1,4))="50171903","Aceitunas",""))</f>
        <v>Aceitunas</v>
      </c>
      <c r="C304" s="41" t="str">
        <f>IFERROR(VLOOKUP("UD",'[1]Informacion '!P:Q,2,FALSE),"")</f>
        <v>Unidad</v>
      </c>
      <c r="D304" s="39">
        <v>2</v>
      </c>
      <c r="E304" s="42">
        <v>1150</v>
      </c>
      <c r="F304" s="43">
        <f t="shared" ca="1" si="10"/>
        <v>2300</v>
      </c>
    </row>
    <row r="305" spans="1:6" ht="24" customHeight="1" x14ac:dyDescent="0.25">
      <c r="A305" s="39" t="s">
        <v>63</v>
      </c>
      <c r="B305" s="40" t="str">
        <f ca="1">IFERROR(INDEX(UNSPSCDes,MATCH(INDIRECT(ADDRESS(ROW(),COLUMN()-1,4)),UNSPSCCode,0)),IF(INDIRECT(ADDRESS(ROW(),COLUMN()-1,4))="50131701","Productos de leche o mantequilla frescos",""))</f>
        <v>Productos de leche o mantequilla frescos</v>
      </c>
      <c r="C305" s="41" t="str">
        <f>IFERROR(VLOOKUP("UD",'[1]Informacion '!P:Q,2,FALSE),"")</f>
        <v>Unidad</v>
      </c>
      <c r="D305" s="39">
        <v>1</v>
      </c>
      <c r="E305" s="42">
        <v>3258.75</v>
      </c>
      <c r="F305" s="43">
        <f t="shared" ca="1" si="10"/>
        <v>3258.75</v>
      </c>
    </row>
    <row r="306" spans="1:6" ht="20.25" customHeight="1" x14ac:dyDescent="0.25">
      <c r="A306" s="39" t="s">
        <v>45</v>
      </c>
      <c r="B306" s="40" t="str">
        <f ca="1">IFERROR(INDEX(UNSPSCDes,MATCH(INDIRECT(ADDRESS(ROW(),COLUMN()-1,4)),UNSPSCCode,0)),IF(INDIRECT(ADDRESS(ROW(),COLUMN()-1,4))="50151513","Aceites vegetales o  de planta comestibles",""))</f>
        <v>Aceites vegetales o  de planta comestibles</v>
      </c>
      <c r="C306" s="41" t="str">
        <f>IFERROR(VLOOKUP("UD",'[1]Informacion '!P:Q,2,FALSE),"")</f>
        <v>Unidad</v>
      </c>
      <c r="D306" s="39">
        <v>10</v>
      </c>
      <c r="E306" s="42">
        <v>420</v>
      </c>
      <c r="F306" s="43">
        <f t="shared" ca="1" si="10"/>
        <v>4200</v>
      </c>
    </row>
    <row r="307" spans="1:6" ht="19.5" customHeight="1" x14ac:dyDescent="0.25">
      <c r="A307" s="39" t="s">
        <v>77</v>
      </c>
      <c r="B307" s="40" t="str">
        <f ca="1">IFERROR(INDEX(UNSPSCDes,MATCH(INDIRECT(ADDRESS(ROW(),COLUMN()-1,4)),UNSPSCCode,0)),IF(INDIRECT(ADDRESS(ROW(),COLUMN()-1,4))="50171832","Salsas para ensaladas o dips",""))</f>
        <v>Salsas para ensaladas o dips</v>
      </c>
      <c r="C307" s="41" t="str">
        <f>IFERROR(VLOOKUP("UD",'[1]Informacion '!P:Q,2,FALSE),"")</f>
        <v>Unidad</v>
      </c>
      <c r="D307" s="39">
        <v>1</v>
      </c>
      <c r="E307" s="42">
        <v>1000</v>
      </c>
      <c r="F307" s="43">
        <f t="shared" ca="1" si="10"/>
        <v>1000</v>
      </c>
    </row>
    <row r="308" spans="1:6" ht="20.25" customHeight="1" x14ac:dyDescent="0.25">
      <c r="A308" s="39" t="s">
        <v>67</v>
      </c>
      <c r="B308" s="40" t="str">
        <f ca="1">IFERROR(INDEX(UNSPSCDes,MATCH(INDIRECT(ADDRESS(ROW(),COLUMN()-1,4)),UNSPSCCode,0)),IF(INDIRECT(ADDRESS(ROW(),COLUMN()-1,4))="50171707","Vinagres",""))</f>
        <v>Vinagres</v>
      </c>
      <c r="C308" s="41" t="str">
        <f>IFERROR(VLOOKUP("UD",'[1]Informacion '!P:Q,2,FALSE),"")</f>
        <v>Unidad</v>
      </c>
      <c r="D308" s="39">
        <v>3</v>
      </c>
      <c r="E308" s="42">
        <v>1650</v>
      </c>
      <c r="F308" s="43">
        <f t="shared" ca="1" si="10"/>
        <v>4950</v>
      </c>
    </row>
    <row r="309" spans="1:6" x14ac:dyDescent="0.25">
      <c r="A309" s="46"/>
      <c r="B309" s="46"/>
      <c r="C309" s="46"/>
      <c r="D309" s="46"/>
      <c r="E309" s="44" t="s">
        <v>46</v>
      </c>
      <c r="F309" s="45">
        <f ca="1">SUM(Table10[MONTO TOTAL ESTIMADO])</f>
        <v>529204.75</v>
      </c>
    </row>
    <row r="310" spans="1:6" ht="15.75" thickBot="1" x14ac:dyDescent="0.3">
      <c r="A310" s="46"/>
      <c r="B310" s="46"/>
      <c r="C310" s="46"/>
      <c r="D310" s="46"/>
      <c r="E310" s="46"/>
      <c r="F310" s="46"/>
    </row>
    <row r="311" spans="1:6" ht="34.5" thickBot="1" x14ac:dyDescent="0.3">
      <c r="A311" s="29" t="s">
        <v>18</v>
      </c>
      <c r="B311" s="29" t="s">
        <v>19</v>
      </c>
      <c r="C311" s="29" t="s">
        <v>20</v>
      </c>
      <c r="D311" s="29" t="s">
        <v>21</v>
      </c>
      <c r="E311" s="29" t="s">
        <v>22</v>
      </c>
      <c r="F311" s="29" t="s">
        <v>23</v>
      </c>
    </row>
    <row r="312" spans="1:6" ht="15.75" thickBot="1" x14ac:dyDescent="0.3">
      <c r="A312" s="30" t="s">
        <v>56</v>
      </c>
      <c r="B312" s="30" t="s">
        <v>79</v>
      </c>
      <c r="C312" s="30" t="s">
        <v>26</v>
      </c>
      <c r="D312" s="30" t="s">
        <v>27</v>
      </c>
      <c r="E312" s="30" t="s">
        <v>28</v>
      </c>
      <c r="F312" s="30" t="s">
        <v>17</v>
      </c>
    </row>
    <row r="313" spans="1:6" ht="15.75" thickBot="1" x14ac:dyDescent="0.3">
      <c r="A313" s="31" t="s">
        <v>29</v>
      </c>
      <c r="B313" s="32" t="s">
        <v>30</v>
      </c>
      <c r="C313" s="33">
        <v>46296</v>
      </c>
      <c r="D313" s="31" t="s">
        <v>31</v>
      </c>
      <c r="E313" s="34" t="s">
        <v>32</v>
      </c>
      <c r="F313" s="35" t="s">
        <v>33</v>
      </c>
    </row>
    <row r="314" spans="1:6" ht="15.75" thickBot="1" x14ac:dyDescent="0.3">
      <c r="A314" s="36"/>
      <c r="B314" s="32" t="s">
        <v>34</v>
      </c>
      <c r="C314" s="37">
        <f>IF(C313="","",IF(AND(MONTH(C313)&gt;=1,MONTH(C313)&lt;=3),1,IF(AND(MONTH(C313)&gt;=4,MONTH(C313)&lt;=6),2,IF(AND(MONTH(C313)&gt;=7,MONTH(C313)&lt;=9),3,4))))</f>
        <v>4</v>
      </c>
      <c r="D314" s="36"/>
      <c r="E314" s="34" t="s">
        <v>35</v>
      </c>
      <c r="F314" s="35"/>
    </row>
    <row r="315" spans="1:6" ht="15.75" thickBot="1" x14ac:dyDescent="0.3">
      <c r="A315" s="36"/>
      <c r="B315" s="32" t="s">
        <v>36</v>
      </c>
      <c r="C315" s="33">
        <v>46299</v>
      </c>
      <c r="D315" s="36"/>
      <c r="E315" s="34" t="s">
        <v>37</v>
      </c>
      <c r="F315" s="35"/>
    </row>
    <row r="316" spans="1:6" ht="15.75" thickBot="1" x14ac:dyDescent="0.3">
      <c r="A316" s="36"/>
      <c r="B316" s="32" t="s">
        <v>34</v>
      </c>
      <c r="C316" s="37">
        <f>IF(C315="","",IF(AND(MONTH(C315)&gt;=1,MONTH(C315)&lt;=3),1,IF(AND(MONTH(C315)&gt;=4,MONTH(C315)&lt;=6),2,IF(AND(MONTH(C315)&gt;=7,MONTH(C315)&lt;=9),3,4))))</f>
        <v>4</v>
      </c>
      <c r="D316" s="36"/>
      <c r="E316" s="34" t="s">
        <v>38</v>
      </c>
      <c r="F316" s="35"/>
    </row>
    <row r="317" spans="1:6" ht="15.75" thickBot="1" x14ac:dyDescent="0.3">
      <c r="A317" s="46"/>
      <c r="B317" s="46"/>
      <c r="C317" s="46"/>
      <c r="D317" s="46"/>
      <c r="E317" s="46"/>
      <c r="F317" s="46"/>
    </row>
    <row r="318" spans="1:6" ht="15.75" thickBot="1" x14ac:dyDescent="0.3">
      <c r="A318" s="38" t="s">
        <v>39</v>
      </c>
      <c r="B318" s="38" t="s">
        <v>40</v>
      </c>
      <c r="C318" s="38" t="s">
        <v>41</v>
      </c>
      <c r="D318" s="38" t="s">
        <v>42</v>
      </c>
      <c r="E318" s="38" t="s">
        <v>43</v>
      </c>
      <c r="F318" s="38" t="s">
        <v>44</v>
      </c>
    </row>
    <row r="319" spans="1:6" ht="18" customHeight="1" x14ac:dyDescent="0.25">
      <c r="A319" s="39" t="s">
        <v>45</v>
      </c>
      <c r="B319" s="40" t="str">
        <f ca="1">IFERROR(INDEX(UNSPSCDes,MATCH(INDIRECT(ADDRESS(ROW(),COLUMN()-1,4)),UNSPSCCode,0)),IF(INDIRECT(ADDRESS(ROW(),COLUMN()-1,4))="50151513","Aceites vegetales o  de planta comestibles",""))</f>
        <v>Aceites vegetales o  de planta comestibles</v>
      </c>
      <c r="C319" s="41" t="str">
        <f>IFERROR(VLOOKUP("CAJ",'[1]Informacion '!P:Q,2,FALSE),"")</f>
        <v>Caja</v>
      </c>
      <c r="D319" s="39">
        <v>10</v>
      </c>
      <c r="E319" s="42">
        <v>2280</v>
      </c>
      <c r="F319" s="43">
        <f t="shared" ref="F319:F349" ca="1" si="11">INDIRECT(ADDRESS(ROW(),COLUMN()-2,4))*INDIRECT(ADDRESS(ROW(),COLUMN()-1,4))</f>
        <v>22800</v>
      </c>
    </row>
    <row r="320" spans="1:6" x14ac:dyDescent="0.25">
      <c r="A320" s="39" t="s">
        <v>58</v>
      </c>
      <c r="B320" s="40" t="str">
        <f ca="1">IFERROR(INDEX(UNSPSCDes,MATCH(INDIRECT(ADDRESS(ROW(),COLUMN()-1,4)),UNSPSCCode,0)),IF(INDIRECT(ADDRESS(ROW(),COLUMN()-1,4))="50221101","Grano de cereal",""))</f>
        <v>Grano de cereal</v>
      </c>
      <c r="C320" s="41" t="str">
        <f>IFERROR(VLOOKUP("LB",'[1]Informacion '!P:Q,2,FALSE),"")</f>
        <v>Libra </v>
      </c>
      <c r="D320" s="39">
        <v>48</v>
      </c>
      <c r="E320" s="42">
        <v>100</v>
      </c>
      <c r="F320" s="43">
        <f t="shared" ca="1" si="11"/>
        <v>4800</v>
      </c>
    </row>
    <row r="321" spans="1:6" x14ac:dyDescent="0.25">
      <c r="A321" s="39" t="s">
        <v>59</v>
      </c>
      <c r="B321" s="40" t="str">
        <f ca="1">IFERROR(INDEX(UNSPSCDes,MATCH(INDIRECT(ADDRESS(ROW(),COLUMN()-1,4)),UNSPSCCode,0)),IF(INDIRECT(ADDRESS(ROW(),COLUMN()-1,4))="50101543","Judías secas",""))</f>
        <v>Judías secas</v>
      </c>
      <c r="C321" s="41" t="str">
        <f>IFERROR(VLOOKUP("CAJ",'[1]Informacion '!P:Q,2,FALSE),"")</f>
        <v>Caja</v>
      </c>
      <c r="D321" s="39">
        <v>12</v>
      </c>
      <c r="E321" s="42">
        <v>2400</v>
      </c>
      <c r="F321" s="43">
        <f t="shared" ca="1" si="11"/>
        <v>28800</v>
      </c>
    </row>
    <row r="322" spans="1:6" x14ac:dyDescent="0.25">
      <c r="A322" s="39" t="s">
        <v>58</v>
      </c>
      <c r="B322" s="40" t="str">
        <f ca="1">IFERROR(INDEX(UNSPSCDes,MATCH(INDIRECT(ADDRESS(ROW(),COLUMN()-1,4)),UNSPSCCode,0)),IF(INDIRECT(ADDRESS(ROW(),COLUMN()-1,4))="50221101","Grano de cereal",""))</f>
        <v>Grano de cereal</v>
      </c>
      <c r="C322" s="41" t="str">
        <f>IFERROR(VLOOKUP("LB",'[1]Informacion '!P:Q,2,FALSE),"")</f>
        <v>Libra </v>
      </c>
      <c r="D322" s="39">
        <v>2875</v>
      </c>
      <c r="E322" s="42">
        <v>27</v>
      </c>
      <c r="F322" s="43">
        <f t="shared" ca="1" si="11"/>
        <v>77625</v>
      </c>
    </row>
    <row r="323" spans="1:6" ht="18" customHeight="1" x14ac:dyDescent="0.25">
      <c r="A323" s="39" t="s">
        <v>60</v>
      </c>
      <c r="B323" s="40" t="str">
        <f ca="1">IFERROR(INDEX(UNSPSCDes,MATCH(INDIRECT(ADDRESS(ROW(),COLUMN()-1,4)),UNSPSCCode,0)),IF(INDIRECT(ADDRESS(ROW(),COLUMN()-1,4))="50161814","Azúcar o sustituto de azúcar, confite",""))</f>
        <v>Azúcar o sustituto de azúcar, confite</v>
      </c>
      <c r="C323" s="41" t="str">
        <f>IFERROR(VLOOKUP("LB",'[1]Informacion '!P:Q,2,FALSE),"")</f>
        <v>Libra </v>
      </c>
      <c r="D323" s="39">
        <v>625</v>
      </c>
      <c r="E323" s="42">
        <v>30</v>
      </c>
      <c r="F323" s="43">
        <f t="shared" ca="1" si="11"/>
        <v>18750</v>
      </c>
    </row>
    <row r="324" spans="1:6" ht="19.5" customHeight="1" x14ac:dyDescent="0.25">
      <c r="A324" s="39" t="s">
        <v>61</v>
      </c>
      <c r="B324" s="40" t="str">
        <f ca="1">IFERROR(INDEX(UNSPSCDes,MATCH(INDIRECT(ADDRESS(ROW(),COLUMN()-1,4)),UNSPSCCode,0)),IF(INDIRECT(ADDRESS(ROW(),COLUMN()-1,4))="50161511","Chocolate o sustituto de chocolate",""))</f>
        <v>Chocolate o sustituto de chocolate</v>
      </c>
      <c r="C324" s="41" t="str">
        <f>IFERROR(VLOOKUP("CAJ",'[1]Informacion '!P:Q,2,FALSE),"")</f>
        <v>Caja</v>
      </c>
      <c r="D324" s="39">
        <v>2</v>
      </c>
      <c r="E324" s="42">
        <v>7000</v>
      </c>
      <c r="F324" s="43">
        <f t="shared" ca="1" si="11"/>
        <v>14000</v>
      </c>
    </row>
    <row r="325" spans="1:6" ht="18.75" customHeight="1" x14ac:dyDescent="0.25">
      <c r="A325" s="39" t="s">
        <v>62</v>
      </c>
      <c r="B325" s="40" t="str">
        <f ca="1">IFERROR(INDEX(UNSPSCDes,MATCH(INDIRECT(ADDRESS(ROW(),COLUMN()-1,4)),UNSPSCCode,0)),IF(INDIRECT(ADDRESS(ROW(),COLUMN()-1,4))="50192901","Pasta sencilla o fideos",""))</f>
        <v>Pasta sencilla o fideos</v>
      </c>
      <c r="C325" s="41" t="str">
        <f>IFERROR(VLOOKUP("LB",'[1]Informacion '!P:Q,2,FALSE),"")</f>
        <v>Libra </v>
      </c>
      <c r="D325" s="39">
        <v>20</v>
      </c>
      <c r="E325" s="42">
        <v>45</v>
      </c>
      <c r="F325" s="43">
        <f t="shared" ca="1" si="11"/>
        <v>900</v>
      </c>
    </row>
    <row r="326" spans="1:6" ht="16.5" customHeight="1" x14ac:dyDescent="0.25">
      <c r="A326" s="39" t="s">
        <v>62</v>
      </c>
      <c r="B326" s="40" t="str">
        <f ca="1">IFERROR(INDEX(UNSPSCDes,MATCH(INDIRECT(ADDRESS(ROW(),COLUMN()-1,4)),UNSPSCCode,0)),IF(INDIRECT(ADDRESS(ROW(),COLUMN()-1,4))="50192901","Pasta sencilla o fideos",""))</f>
        <v>Pasta sencilla o fideos</v>
      </c>
      <c r="C326" s="41" t="str">
        <f>IFERROR(VLOOKUP("LB",'[1]Informacion '!P:Q,2,FALSE),"")</f>
        <v>Libra </v>
      </c>
      <c r="D326" s="39">
        <v>20</v>
      </c>
      <c r="E326" s="42">
        <v>45</v>
      </c>
      <c r="F326" s="43">
        <f t="shared" ca="1" si="11"/>
        <v>900</v>
      </c>
    </row>
    <row r="327" spans="1:6" ht="17.25" customHeight="1" x14ac:dyDescent="0.25">
      <c r="A327" s="39" t="s">
        <v>62</v>
      </c>
      <c r="B327" s="40" t="str">
        <f ca="1">IFERROR(INDEX(UNSPSCDes,MATCH(INDIRECT(ADDRESS(ROW(),COLUMN()-1,4)),UNSPSCCode,0)),IF(INDIRECT(ADDRESS(ROW(),COLUMN()-1,4))="50192901","Pasta sencilla o fideos",""))</f>
        <v>Pasta sencilla o fideos</v>
      </c>
      <c r="C327" s="41" t="str">
        <f>IFERROR(VLOOKUP("LB",'[1]Informacion '!P:Q,2,FALSE),"")</f>
        <v>Libra </v>
      </c>
      <c r="D327" s="39">
        <v>20</v>
      </c>
      <c r="E327" s="42">
        <v>45</v>
      </c>
      <c r="F327" s="43">
        <f t="shared" ca="1" si="11"/>
        <v>900</v>
      </c>
    </row>
    <row r="328" spans="1:6" ht="20.25" customHeight="1" x14ac:dyDescent="0.25">
      <c r="A328" s="39" t="s">
        <v>63</v>
      </c>
      <c r="B328" s="40" t="str">
        <f ca="1">IFERROR(INDEX(UNSPSCDes,MATCH(INDIRECT(ADDRESS(ROW(),COLUMN()-1,4)),UNSPSCCode,0)),IF(INDIRECT(ADDRESS(ROW(),COLUMN()-1,4))="50131701","Productos de leche o mantequilla frescos",""))</f>
        <v>Productos de leche o mantequilla frescos</v>
      </c>
      <c r="C328" s="41" t="str">
        <f>IFERROR(VLOOKUP("UD",'[1]Informacion '!P:Q,2,FALSE),"")</f>
        <v>Unidad</v>
      </c>
      <c r="D328" s="39">
        <v>10</v>
      </c>
      <c r="E328" s="42">
        <v>9300</v>
      </c>
      <c r="F328" s="43">
        <f t="shared" ca="1" si="11"/>
        <v>93000</v>
      </c>
    </row>
    <row r="329" spans="1:6" x14ac:dyDescent="0.25">
      <c r="A329" s="39" t="s">
        <v>64</v>
      </c>
      <c r="B329" s="40" t="str">
        <f ca="1">IFERROR(INDEX(UNSPSCDes,MATCH(INDIRECT(ADDRESS(ROW(),COLUMN()-1,4)),UNSPSCCode,0)),IF(INDIRECT(ADDRESS(ROW(),COLUMN()-1,4))="50192112","Maíz pira",""))</f>
        <v>Maíz pira</v>
      </c>
      <c r="C329" s="41" t="str">
        <f>IFERROR(VLOOKUP("CAJ",'[1]Informacion '!P:Q,2,FALSE),"")</f>
        <v>Caja</v>
      </c>
      <c r="D329" s="39">
        <v>10</v>
      </c>
      <c r="E329" s="42">
        <v>1504.35</v>
      </c>
      <c r="F329" s="43">
        <f t="shared" ca="1" si="11"/>
        <v>15043.5</v>
      </c>
    </row>
    <row r="330" spans="1:6" x14ac:dyDescent="0.25">
      <c r="A330" s="39" t="s">
        <v>65</v>
      </c>
      <c r="B330" s="40" t="str">
        <f ca="1">IFERROR(INDEX(UNSPSCDes,MATCH(INDIRECT(ADDRESS(ROW(),COLUMN()-1,4)),UNSPSCCode,0)),IF(INDIRECT(ADDRESS(ROW(),COLUMN()-1,4))="50221102","Grano de harina",""))</f>
        <v>Grano de harina</v>
      </c>
      <c r="C330" s="41" t="str">
        <f>IFERROR(VLOOKUP("CAJ",'[1]Informacion '!P:Q,2,FALSE),"")</f>
        <v>Caja</v>
      </c>
      <c r="D330" s="39">
        <v>1</v>
      </c>
      <c r="E330" s="42">
        <v>3900</v>
      </c>
      <c r="F330" s="43">
        <f t="shared" ca="1" si="11"/>
        <v>3900</v>
      </c>
    </row>
    <row r="331" spans="1:6" ht="22.5" x14ac:dyDescent="0.25">
      <c r="A331" s="39" t="s">
        <v>66</v>
      </c>
      <c r="B331" s="40" t="str">
        <f ca="1">IFERROR(INDEX(UNSPSCDes,MATCH(INDIRECT(ADDRESS(ROW(),COLUMN()-1,4)),UNSPSCCode,0)),IF(INDIRECT(ADDRESS(ROW(),COLUMN()-1,4))="50171831","Salsas para cocinar",""))</f>
        <v>Salsas para cocinar</v>
      </c>
      <c r="C331" s="41" t="str">
        <f>IFERROR(VLOOKUP("CAJ",'[1]Informacion '!P:Q,2,FALSE),"")</f>
        <v>Caja</v>
      </c>
      <c r="D331" s="39">
        <v>5</v>
      </c>
      <c r="E331" s="42">
        <v>4100</v>
      </c>
      <c r="F331" s="43">
        <f t="shared" ca="1" si="11"/>
        <v>20500</v>
      </c>
    </row>
    <row r="332" spans="1:6" x14ac:dyDescent="0.25">
      <c r="A332" s="39" t="s">
        <v>65</v>
      </c>
      <c r="B332" s="40" t="str">
        <f ca="1">IFERROR(INDEX(UNSPSCDes,MATCH(INDIRECT(ADDRESS(ROW(),COLUMN()-1,4)),UNSPSCCode,0)),IF(INDIRECT(ADDRESS(ROW(),COLUMN()-1,4))="50221102","Grano de harina",""))</f>
        <v>Grano de harina</v>
      </c>
      <c r="C332" s="41" t="str">
        <f>IFERROR(VLOOKUP("LB",'[1]Informacion '!P:Q,2,FALSE),"")</f>
        <v>Libra </v>
      </c>
      <c r="D332" s="39">
        <v>100</v>
      </c>
      <c r="E332" s="42">
        <v>45</v>
      </c>
      <c r="F332" s="43">
        <f t="shared" ca="1" si="11"/>
        <v>4500</v>
      </c>
    </row>
    <row r="333" spans="1:6" x14ac:dyDescent="0.25">
      <c r="A333" s="39" t="s">
        <v>65</v>
      </c>
      <c r="B333" s="40" t="str">
        <f ca="1">IFERROR(INDEX(UNSPSCDes,MATCH(INDIRECT(ADDRESS(ROW(),COLUMN()-1,4)),UNSPSCCode,0)),IF(INDIRECT(ADDRESS(ROW(),COLUMN()-1,4))="50221102","Grano de harina",""))</f>
        <v>Grano de harina</v>
      </c>
      <c r="C333" s="41" t="str">
        <f>IFERROR(VLOOKUP("LB",'[1]Informacion '!P:Q,2,FALSE),"")</f>
        <v>Libra </v>
      </c>
      <c r="D333" s="39">
        <v>50</v>
      </c>
      <c r="E333" s="42">
        <v>22.15</v>
      </c>
      <c r="F333" s="43">
        <f t="shared" ca="1" si="11"/>
        <v>1107.5</v>
      </c>
    </row>
    <row r="334" spans="1:6" x14ac:dyDescent="0.25">
      <c r="A334" s="39" t="s">
        <v>67</v>
      </c>
      <c r="B334" s="40" t="str">
        <f ca="1">IFERROR(INDEX(UNSPSCDes,MATCH(INDIRECT(ADDRESS(ROW(),COLUMN()-1,4)),UNSPSCCode,0)),IF(INDIRECT(ADDRESS(ROW(),COLUMN()-1,4))="50171707","Vinagres",""))</f>
        <v>Vinagres</v>
      </c>
      <c r="C334" s="41" t="str">
        <f>IFERROR(VLOOKUP("CAJ",'[1]Informacion '!P:Q,2,FALSE),"")</f>
        <v>Caja</v>
      </c>
      <c r="D334" s="39">
        <v>5</v>
      </c>
      <c r="E334" s="42">
        <v>1650</v>
      </c>
      <c r="F334" s="43">
        <f t="shared" ca="1" si="11"/>
        <v>8250</v>
      </c>
    </row>
    <row r="335" spans="1:6" ht="21.75" customHeight="1" x14ac:dyDescent="0.25">
      <c r="A335" s="39" t="s">
        <v>63</v>
      </c>
      <c r="B335" s="40" t="str">
        <f ca="1">IFERROR(INDEX(UNSPSCDes,MATCH(INDIRECT(ADDRESS(ROW(),COLUMN()-1,4)),UNSPSCCode,0)),IF(INDIRECT(ADDRESS(ROW(),COLUMN()-1,4))="50131701","Productos de leche o mantequilla frescos",""))</f>
        <v>Productos de leche o mantequilla frescos</v>
      </c>
      <c r="C335" s="41" t="str">
        <f>IFERROR(VLOOKUP("CAJ",'[1]Informacion '!P:Q,2,FALSE),"")</f>
        <v>Caja</v>
      </c>
      <c r="D335" s="39">
        <v>3</v>
      </c>
      <c r="E335" s="42">
        <v>2500</v>
      </c>
      <c r="F335" s="43">
        <f t="shared" ca="1" si="11"/>
        <v>7500</v>
      </c>
    </row>
    <row r="336" spans="1:6" x14ac:dyDescent="0.25">
      <c r="A336" s="39" t="s">
        <v>68</v>
      </c>
      <c r="B336" s="40" t="str">
        <f ca="1">IFERROR(INDEX(UNSPSCDes,MATCH(INDIRECT(ADDRESS(ROW(),COLUMN()-1,4)),UNSPSCCode,0)),IF(INDIRECT(ADDRESS(ROW(),COLUMN()-1,4))="50201706","Café",""))</f>
        <v>Café</v>
      </c>
      <c r="C336" s="41" t="str">
        <f>IFERROR(VLOOKUP("UD",'[1]Informacion '!P:Q,2,FALSE),"")</f>
        <v>Unidad</v>
      </c>
      <c r="D336" s="39">
        <v>5</v>
      </c>
      <c r="E336" s="42">
        <v>6000</v>
      </c>
      <c r="F336" s="43">
        <f t="shared" ca="1" si="11"/>
        <v>30000</v>
      </c>
    </row>
    <row r="337" spans="1:6" x14ac:dyDescent="0.25">
      <c r="A337" s="39" t="s">
        <v>70</v>
      </c>
      <c r="B337" s="40" t="str">
        <f ca="1">IFERROR(INDEX(UNSPSCDes,MATCH(INDIRECT(ADDRESS(ROW(),COLUMN()-1,4)),UNSPSCCode,0)),IF(INDIRECT(ADDRESS(ROW(),COLUMN()-1,4))="50181909","Galletas de soda",""))</f>
        <v>Galletas de soda</v>
      </c>
      <c r="C337" s="41" t="str">
        <f>IFERROR(VLOOKUP("UD",'[1]Informacion '!P:Q,2,FALSE),"")</f>
        <v>Unidad</v>
      </c>
      <c r="D337" s="39">
        <v>14</v>
      </c>
      <c r="E337" s="42">
        <v>1100</v>
      </c>
      <c r="F337" s="43">
        <f t="shared" ca="1" si="11"/>
        <v>15400</v>
      </c>
    </row>
    <row r="338" spans="1:6" x14ac:dyDescent="0.25">
      <c r="A338" s="39" t="s">
        <v>65</v>
      </c>
      <c r="B338" s="40" t="str">
        <f ca="1">IFERROR(INDEX(UNSPSCDes,MATCH(INDIRECT(ADDRESS(ROW(),COLUMN()-1,4)),UNSPSCCode,0)),IF(INDIRECT(ADDRESS(ROW(),COLUMN()-1,4))="50221102","Grano de harina",""))</f>
        <v>Grano de harina</v>
      </c>
      <c r="C338" s="41" t="str">
        <f>IFERROR(VLOOKUP("LB",'[1]Informacion '!P:Q,2,FALSE),"")</f>
        <v>Libra </v>
      </c>
      <c r="D338" s="39">
        <v>1</v>
      </c>
      <c r="E338" s="42">
        <v>5100</v>
      </c>
      <c r="F338" s="43">
        <f t="shared" ca="1" si="11"/>
        <v>5100</v>
      </c>
    </row>
    <row r="339" spans="1:6" ht="22.5" x14ac:dyDescent="0.25">
      <c r="A339" s="39" t="s">
        <v>71</v>
      </c>
      <c r="B339" s="40" t="str">
        <f ca="1">IFERROR(INDEX(UNSPSCDes,MATCH(INDIRECT(ADDRESS(ROW(),COLUMN()-1,4)),UNSPSCCode,0)),IF(INDIRECT(ADDRESS(ROW(),COLUMN()-1,4))="50121537","Pescado congelado",""))</f>
        <v>Pescado congelado</v>
      </c>
      <c r="C339" s="41" t="str">
        <f>IFERROR(VLOOKUP("CAJ",'[1]Informacion '!P:Q,2,FALSE),"")</f>
        <v>Caja</v>
      </c>
      <c r="D339" s="39">
        <v>12</v>
      </c>
      <c r="E339" s="42">
        <v>3810</v>
      </c>
      <c r="F339" s="43">
        <f t="shared" ca="1" si="11"/>
        <v>45720</v>
      </c>
    </row>
    <row r="340" spans="1:6" ht="22.5" x14ac:dyDescent="0.25">
      <c r="A340" s="39" t="s">
        <v>71</v>
      </c>
      <c r="B340" s="40" t="str">
        <f ca="1">IFERROR(INDEX(UNSPSCDes,MATCH(INDIRECT(ADDRESS(ROW(),COLUMN()-1,4)),UNSPSCCode,0)),IF(INDIRECT(ADDRESS(ROW(),COLUMN()-1,4))="50121537","Pescado congelado",""))</f>
        <v>Pescado congelado</v>
      </c>
      <c r="C340" s="41" t="str">
        <f>IFERROR(VLOOKUP("CAJ",'[1]Informacion '!P:Q,2,FALSE),"")</f>
        <v>Caja</v>
      </c>
      <c r="D340" s="39">
        <v>5</v>
      </c>
      <c r="E340" s="42">
        <v>10500</v>
      </c>
      <c r="F340" s="43">
        <f t="shared" ca="1" si="11"/>
        <v>52500</v>
      </c>
    </row>
    <row r="341" spans="1:6" x14ac:dyDescent="0.25">
      <c r="A341" s="39" t="s">
        <v>65</v>
      </c>
      <c r="B341" s="40" t="str">
        <f ca="1">IFERROR(INDEX(UNSPSCDes,MATCH(INDIRECT(ADDRESS(ROW(),COLUMN()-1,4)),UNSPSCCode,0)),IF(INDIRECT(ADDRESS(ROW(),COLUMN()-1,4))="50221102","Grano de harina",""))</f>
        <v>Grano de harina</v>
      </c>
      <c r="C341" s="41" t="str">
        <f>IFERROR(VLOOKUP("LB",'[1]Informacion '!P:Q,2,FALSE),"")</f>
        <v>Libra </v>
      </c>
      <c r="D341" s="39">
        <v>60</v>
      </c>
      <c r="E341" s="42">
        <v>35</v>
      </c>
      <c r="F341" s="43">
        <f t="shared" ca="1" si="11"/>
        <v>2100</v>
      </c>
    </row>
    <row r="342" spans="1:6" ht="22.5" x14ac:dyDescent="0.25">
      <c r="A342" s="39" t="s">
        <v>71</v>
      </c>
      <c r="B342" s="40" t="str">
        <f ca="1">IFERROR(INDEX(UNSPSCDes,MATCH(INDIRECT(ADDRESS(ROW(),COLUMN()-1,4)),UNSPSCCode,0)),IF(INDIRECT(ADDRESS(ROW(),COLUMN()-1,4))="50121537","Pescado congelado",""))</f>
        <v>Pescado congelado</v>
      </c>
      <c r="C342" s="41" t="str">
        <f>IFERROR(VLOOKUP("CAJ",'[1]Informacion '!P:Q,2,FALSE),"")</f>
        <v>Caja</v>
      </c>
      <c r="D342" s="39">
        <v>12</v>
      </c>
      <c r="E342" s="42">
        <v>2500</v>
      </c>
      <c r="F342" s="43">
        <f t="shared" ca="1" si="11"/>
        <v>30000</v>
      </c>
    </row>
    <row r="343" spans="1:6" x14ac:dyDescent="0.25">
      <c r="A343" s="39" t="s">
        <v>72</v>
      </c>
      <c r="B343" s="40" t="str">
        <f ca="1">IFERROR(INDEX(UNSPSCDes,MATCH(INDIRECT(ADDRESS(ROW(),COLUMN()-1,4)),UNSPSCCode,0)),IF(INDIRECT(ADDRESS(ROW(),COLUMN()-1,4))="50171551","Sal de mesa",""))</f>
        <v>Sal de mesa</v>
      </c>
      <c r="C343" s="41" t="str">
        <f>IFERROR(VLOOKUP("LB",'[1]Informacion '!P:Q,2,FALSE),"")</f>
        <v>Libra </v>
      </c>
      <c r="D343" s="39">
        <v>200</v>
      </c>
      <c r="E343" s="42">
        <v>16</v>
      </c>
      <c r="F343" s="43">
        <f t="shared" ca="1" si="11"/>
        <v>3200</v>
      </c>
    </row>
    <row r="344" spans="1:6" x14ac:dyDescent="0.25">
      <c r="A344" s="39" t="s">
        <v>73</v>
      </c>
      <c r="B344" s="40" t="str">
        <f ca="1">IFERROR(INDEX(UNSPSCDes,MATCH(INDIRECT(ADDRESS(ROW(),COLUMN()-1,4)),UNSPSCCode,0)),IF(INDIRECT(ADDRESS(ROW(),COLUMN()-1,4))="50171903","Aceitunas",""))</f>
        <v>Aceitunas</v>
      </c>
      <c r="C344" s="41" t="str">
        <f>IFERROR(VLOOKUP("CAJ",'[1]Informacion '!P:Q,2,FALSE),"")</f>
        <v>Caja</v>
      </c>
      <c r="D344" s="39">
        <v>2</v>
      </c>
      <c r="E344" s="42">
        <v>1150</v>
      </c>
      <c r="F344" s="43">
        <f t="shared" ca="1" si="11"/>
        <v>2300</v>
      </c>
    </row>
    <row r="345" spans="1:6" x14ac:dyDescent="0.25">
      <c r="A345" s="39" t="s">
        <v>73</v>
      </c>
      <c r="B345" s="40" t="str">
        <f ca="1">IFERROR(INDEX(UNSPSCDes,MATCH(INDIRECT(ADDRESS(ROW(),COLUMN()-1,4)),UNSPSCCode,0)),IF(INDIRECT(ADDRESS(ROW(),COLUMN()-1,4))="50171903","Aceitunas",""))</f>
        <v>Aceitunas</v>
      </c>
      <c r="C345" s="41" t="str">
        <f>IFERROR(VLOOKUP("CAJ",'[1]Informacion '!P:Q,2,FALSE),"")</f>
        <v>Caja</v>
      </c>
      <c r="D345" s="39">
        <v>2</v>
      </c>
      <c r="E345" s="42">
        <v>1150</v>
      </c>
      <c r="F345" s="43">
        <f t="shared" ca="1" si="11"/>
        <v>2300</v>
      </c>
    </row>
    <row r="346" spans="1:6" ht="18.75" customHeight="1" x14ac:dyDescent="0.25">
      <c r="A346" s="39" t="s">
        <v>63</v>
      </c>
      <c r="B346" s="40" t="str">
        <f ca="1">IFERROR(INDEX(UNSPSCDes,MATCH(INDIRECT(ADDRESS(ROW(),COLUMN()-1,4)),UNSPSCCode,0)),IF(INDIRECT(ADDRESS(ROW(),COLUMN()-1,4))="50131701","Productos de leche o mantequilla frescos",""))</f>
        <v>Productos de leche o mantequilla frescos</v>
      </c>
      <c r="C346" s="41" t="str">
        <f>IFERROR(VLOOKUP("UD",'[1]Informacion '!P:Q,2,FALSE),"")</f>
        <v>Unidad</v>
      </c>
      <c r="D346" s="39">
        <v>1</v>
      </c>
      <c r="E346" s="42">
        <v>3258.75</v>
      </c>
      <c r="F346" s="43">
        <f t="shared" ca="1" si="11"/>
        <v>3258.75</v>
      </c>
    </row>
    <row r="347" spans="1:6" ht="21.75" customHeight="1" x14ac:dyDescent="0.25">
      <c r="A347" s="39" t="s">
        <v>45</v>
      </c>
      <c r="B347" s="40" t="str">
        <f ca="1">IFERROR(INDEX(UNSPSCDes,MATCH(INDIRECT(ADDRESS(ROW(),COLUMN()-1,4)),UNSPSCCode,0)),IF(INDIRECT(ADDRESS(ROW(),COLUMN()-1,4))="50151513","Aceites vegetales o  de planta comestibles",""))</f>
        <v>Aceites vegetales o  de planta comestibles</v>
      </c>
      <c r="C347" s="41" t="str">
        <f>IFERROR(VLOOKUP("LB",'[1]Informacion '!P:Q,2,FALSE),"")</f>
        <v>Libra </v>
      </c>
      <c r="D347" s="39">
        <v>10</v>
      </c>
      <c r="E347" s="42">
        <v>420</v>
      </c>
      <c r="F347" s="43">
        <f t="shared" ca="1" si="11"/>
        <v>4200</v>
      </c>
    </row>
    <row r="348" spans="1:6" ht="18" customHeight="1" x14ac:dyDescent="0.25">
      <c r="A348" s="39" t="s">
        <v>77</v>
      </c>
      <c r="B348" s="40" t="str">
        <f ca="1">IFERROR(INDEX(UNSPSCDes,MATCH(INDIRECT(ADDRESS(ROW(),COLUMN()-1,4)),UNSPSCCode,0)),IF(INDIRECT(ADDRESS(ROW(),COLUMN()-1,4))="50171832","Salsas para ensaladas o dips",""))</f>
        <v>Salsas para ensaladas o dips</v>
      </c>
      <c r="C348" s="41" t="str">
        <f>IFERROR(VLOOKUP("GAL",'[1]Informacion '!P:Q,2,FALSE),"")</f>
        <v>Galón</v>
      </c>
      <c r="D348" s="39">
        <v>1</v>
      </c>
      <c r="E348" s="42">
        <v>1000</v>
      </c>
      <c r="F348" s="43">
        <f t="shared" ca="1" si="11"/>
        <v>1000</v>
      </c>
    </row>
    <row r="349" spans="1:6" x14ac:dyDescent="0.25">
      <c r="A349" s="39" t="s">
        <v>67</v>
      </c>
      <c r="B349" s="40" t="str">
        <f ca="1">IFERROR(INDEX(UNSPSCDes,MATCH(INDIRECT(ADDRESS(ROW(),COLUMN()-1,4)),UNSPSCCode,0)),IF(INDIRECT(ADDRESS(ROW(),COLUMN()-1,4))="50171707","Vinagres",""))</f>
        <v>Vinagres</v>
      </c>
      <c r="C349" s="41" t="str">
        <f>IFERROR(VLOOKUP("CAJ",'[1]Informacion '!P:Q,2,FALSE),"")</f>
        <v>Caja</v>
      </c>
      <c r="D349" s="39">
        <v>3</v>
      </c>
      <c r="E349" s="42">
        <v>1650</v>
      </c>
      <c r="F349" s="43">
        <f t="shared" ca="1" si="11"/>
        <v>4950</v>
      </c>
    </row>
    <row r="350" spans="1:6" x14ac:dyDescent="0.25">
      <c r="A350" s="46"/>
      <c r="B350" s="46"/>
      <c r="C350" s="46"/>
      <c r="D350" s="46"/>
      <c r="E350" s="44" t="s">
        <v>46</v>
      </c>
      <c r="F350" s="45">
        <f ca="1">SUM(Table11[MONTO TOTAL ESTIMADO])</f>
        <v>525304.75</v>
      </c>
    </row>
    <row r="351" spans="1:6" ht="15.75" thickBot="1" x14ac:dyDescent="0.3">
      <c r="A351" s="46"/>
      <c r="B351" s="46"/>
      <c r="C351" s="46"/>
      <c r="D351" s="46"/>
      <c r="E351" s="46"/>
      <c r="F351" s="46"/>
    </row>
    <row r="352" spans="1:6" ht="34.5" thickBot="1" x14ac:dyDescent="0.3">
      <c r="A352" s="29" t="s">
        <v>18</v>
      </c>
      <c r="B352" s="29" t="s">
        <v>19</v>
      </c>
      <c r="C352" s="29" t="s">
        <v>20</v>
      </c>
      <c r="D352" s="29" t="s">
        <v>21</v>
      </c>
      <c r="E352" s="29" t="s">
        <v>22</v>
      </c>
      <c r="F352" s="29" t="s">
        <v>23</v>
      </c>
    </row>
    <row r="353" spans="1:6" ht="15.75" thickBot="1" x14ac:dyDescent="0.3">
      <c r="A353" s="30" t="s">
        <v>56</v>
      </c>
      <c r="B353" s="30" t="s">
        <v>78</v>
      </c>
      <c r="C353" s="30" t="s">
        <v>26</v>
      </c>
      <c r="D353" s="30" t="s">
        <v>27</v>
      </c>
      <c r="E353" s="30" t="s">
        <v>28</v>
      </c>
      <c r="F353" s="30" t="s">
        <v>17</v>
      </c>
    </row>
    <row r="354" spans="1:6" ht="15.75" thickBot="1" x14ac:dyDescent="0.3">
      <c r="A354" s="31" t="s">
        <v>29</v>
      </c>
      <c r="B354" s="32" t="s">
        <v>30</v>
      </c>
      <c r="C354" s="33">
        <v>46327</v>
      </c>
      <c r="D354" s="31" t="s">
        <v>31</v>
      </c>
      <c r="E354" s="34" t="s">
        <v>32</v>
      </c>
      <c r="F354" s="35" t="s">
        <v>33</v>
      </c>
    </row>
    <row r="355" spans="1:6" ht="15.75" thickBot="1" x14ac:dyDescent="0.3">
      <c r="A355" s="36"/>
      <c r="B355" s="32" t="s">
        <v>34</v>
      </c>
      <c r="C355" s="37">
        <f>IF(C354="","",IF(AND(MONTH(C354)&gt;=1,MONTH(C354)&lt;=3),1,IF(AND(MONTH(C354)&gt;=4,MONTH(C354)&lt;=6),2,IF(AND(MONTH(C354)&gt;=7,MONTH(C354)&lt;=9),3,4))))</f>
        <v>4</v>
      </c>
      <c r="D355" s="36"/>
      <c r="E355" s="34" t="s">
        <v>35</v>
      </c>
      <c r="F355" s="35"/>
    </row>
    <row r="356" spans="1:6" ht="15.75" thickBot="1" x14ac:dyDescent="0.3">
      <c r="A356" s="36"/>
      <c r="B356" s="32" t="s">
        <v>36</v>
      </c>
      <c r="C356" s="33">
        <v>46331</v>
      </c>
      <c r="D356" s="36"/>
      <c r="E356" s="34" t="s">
        <v>37</v>
      </c>
      <c r="F356" s="35"/>
    </row>
    <row r="357" spans="1:6" ht="15.75" thickBot="1" x14ac:dyDescent="0.3">
      <c r="A357" s="36"/>
      <c r="B357" s="32" t="s">
        <v>34</v>
      </c>
      <c r="C357" s="37">
        <f>IF(C356="","",IF(AND(MONTH(C356)&gt;=1,MONTH(C356)&lt;=3),1,IF(AND(MONTH(C356)&gt;=4,MONTH(C356)&lt;=6),2,IF(AND(MONTH(C356)&gt;=7,MONTH(C356)&lt;=9),3,4))))</f>
        <v>4</v>
      </c>
      <c r="D357" s="36"/>
      <c r="E357" s="34" t="s">
        <v>38</v>
      </c>
      <c r="F357" s="35"/>
    </row>
    <row r="358" spans="1:6" ht="15.75" thickBot="1" x14ac:dyDescent="0.3">
      <c r="A358" s="46"/>
      <c r="B358" s="46"/>
      <c r="C358" s="46"/>
      <c r="D358" s="46"/>
      <c r="E358" s="46"/>
      <c r="F358" s="46"/>
    </row>
    <row r="359" spans="1:6" ht="15.75" thickBot="1" x14ac:dyDescent="0.3">
      <c r="A359" s="38" t="s">
        <v>39</v>
      </c>
      <c r="B359" s="38" t="s">
        <v>40</v>
      </c>
      <c r="C359" s="38" t="s">
        <v>41</v>
      </c>
      <c r="D359" s="38" t="s">
        <v>42</v>
      </c>
      <c r="E359" s="38" t="s">
        <v>43</v>
      </c>
      <c r="F359" s="38" t="s">
        <v>44</v>
      </c>
    </row>
    <row r="360" spans="1:6" ht="18.75" customHeight="1" x14ac:dyDescent="0.25">
      <c r="A360" s="39" t="s">
        <v>45</v>
      </c>
      <c r="B360" s="40" t="str">
        <f ca="1">IFERROR(INDEX(UNSPSCDes,MATCH(INDIRECT(ADDRESS(ROW(),COLUMN()-1,4)),UNSPSCCode,0)),IF(INDIRECT(ADDRESS(ROW(),COLUMN()-1,4))="50151513","Aceites vegetales o  de planta comestibles",""))</f>
        <v>Aceites vegetales o  de planta comestibles</v>
      </c>
      <c r="C360" s="41" t="str">
        <f>IFERROR(VLOOKUP("CAJ",'[1]Informacion '!P:Q,2,FALSE),"")</f>
        <v>Caja</v>
      </c>
      <c r="D360" s="39">
        <v>10</v>
      </c>
      <c r="E360" s="42">
        <v>2280</v>
      </c>
      <c r="F360" s="43">
        <f t="shared" ref="F360:F390" ca="1" si="12">INDIRECT(ADDRESS(ROW(),COLUMN()-2,4))*INDIRECT(ADDRESS(ROW(),COLUMN()-1,4))</f>
        <v>22800</v>
      </c>
    </row>
    <row r="361" spans="1:6" x14ac:dyDescent="0.25">
      <c r="A361" s="39" t="s">
        <v>58</v>
      </c>
      <c r="B361" s="40" t="str">
        <f ca="1">IFERROR(INDEX(UNSPSCDes,MATCH(INDIRECT(ADDRESS(ROW(),COLUMN()-1,4)),UNSPSCCode,0)),IF(INDIRECT(ADDRESS(ROW(),COLUMN()-1,4))="50221101","Grano de cereal",""))</f>
        <v>Grano de cereal</v>
      </c>
      <c r="C361" s="41" t="str">
        <f>IFERROR(VLOOKUP("LB",'[1]Informacion '!P:Q,2,FALSE),"")</f>
        <v>Libra </v>
      </c>
      <c r="D361" s="39">
        <v>48</v>
      </c>
      <c r="E361" s="42">
        <v>100</v>
      </c>
      <c r="F361" s="43">
        <f t="shared" ca="1" si="12"/>
        <v>4800</v>
      </c>
    </row>
    <row r="362" spans="1:6" x14ac:dyDescent="0.25">
      <c r="A362" s="39" t="s">
        <v>59</v>
      </c>
      <c r="B362" s="40" t="str">
        <f ca="1">IFERROR(INDEX(UNSPSCDes,MATCH(INDIRECT(ADDRESS(ROW(),COLUMN()-1,4)),UNSPSCCode,0)),IF(INDIRECT(ADDRESS(ROW(),COLUMN()-1,4))="50101543","Judías secas",""))</f>
        <v>Judías secas</v>
      </c>
      <c r="C362" s="41" t="str">
        <f>IFERROR(VLOOKUP("CAJ",'[1]Informacion '!P:Q,2,FALSE),"")</f>
        <v>Caja</v>
      </c>
      <c r="D362" s="39">
        <v>12</v>
      </c>
      <c r="E362" s="42">
        <v>2400</v>
      </c>
      <c r="F362" s="43">
        <f t="shared" ca="1" si="12"/>
        <v>28800</v>
      </c>
    </row>
    <row r="363" spans="1:6" x14ac:dyDescent="0.25">
      <c r="A363" s="39" t="s">
        <v>58</v>
      </c>
      <c r="B363" s="40" t="str">
        <f ca="1">IFERROR(INDEX(UNSPSCDes,MATCH(INDIRECT(ADDRESS(ROW(),COLUMN()-1,4)),UNSPSCCode,0)),IF(INDIRECT(ADDRESS(ROW(),COLUMN()-1,4))="50221101","Grano de cereal",""))</f>
        <v>Grano de cereal</v>
      </c>
      <c r="C363" s="41" t="str">
        <f>IFERROR(VLOOKUP("LB",'[1]Informacion '!P:Q,2,FALSE),"")</f>
        <v>Libra </v>
      </c>
      <c r="D363" s="39">
        <v>2875</v>
      </c>
      <c r="E363" s="42">
        <v>27</v>
      </c>
      <c r="F363" s="43">
        <f t="shared" ca="1" si="12"/>
        <v>77625</v>
      </c>
    </row>
    <row r="364" spans="1:6" ht="21" customHeight="1" x14ac:dyDescent="0.25">
      <c r="A364" s="39" t="s">
        <v>60</v>
      </c>
      <c r="B364" s="40" t="str">
        <f ca="1">IFERROR(INDEX(UNSPSCDes,MATCH(INDIRECT(ADDRESS(ROW(),COLUMN()-1,4)),UNSPSCCode,0)),IF(INDIRECT(ADDRESS(ROW(),COLUMN()-1,4))="50161814","Azúcar o sustituto de azúcar, confite",""))</f>
        <v>Azúcar o sustituto de azúcar, confite</v>
      </c>
      <c r="C364" s="41" t="str">
        <f>IFERROR(VLOOKUP("LB",'[1]Informacion '!P:Q,2,FALSE),"")</f>
        <v>Libra </v>
      </c>
      <c r="D364" s="39">
        <v>625</v>
      </c>
      <c r="E364" s="42">
        <v>30</v>
      </c>
      <c r="F364" s="43">
        <f t="shared" ca="1" si="12"/>
        <v>18750</v>
      </c>
    </row>
    <row r="365" spans="1:6" ht="19.5" customHeight="1" x14ac:dyDescent="0.25">
      <c r="A365" s="39" t="s">
        <v>61</v>
      </c>
      <c r="B365" s="40" t="str">
        <f ca="1">IFERROR(INDEX(UNSPSCDes,MATCH(INDIRECT(ADDRESS(ROW(),COLUMN()-1,4)),UNSPSCCode,0)),IF(INDIRECT(ADDRESS(ROW(),COLUMN()-1,4))="50161511","Chocolate o sustituto de chocolate",""))</f>
        <v>Chocolate o sustituto de chocolate</v>
      </c>
      <c r="C365" s="41" t="str">
        <f>IFERROR(VLOOKUP("CAJ",'[1]Informacion '!P:Q,2,FALSE),"")</f>
        <v>Caja</v>
      </c>
      <c r="D365" s="39">
        <v>2</v>
      </c>
      <c r="E365" s="42">
        <v>7000</v>
      </c>
      <c r="F365" s="43">
        <f t="shared" ca="1" si="12"/>
        <v>14000</v>
      </c>
    </row>
    <row r="366" spans="1:6" ht="16.5" customHeight="1" x14ac:dyDescent="0.25">
      <c r="A366" s="39" t="s">
        <v>62</v>
      </c>
      <c r="B366" s="40" t="str">
        <f ca="1">IFERROR(INDEX(UNSPSCDes,MATCH(INDIRECT(ADDRESS(ROW(),COLUMN()-1,4)),UNSPSCCode,0)),IF(INDIRECT(ADDRESS(ROW(),COLUMN()-1,4))="50192901","Pasta sencilla o fideos",""))</f>
        <v>Pasta sencilla o fideos</v>
      </c>
      <c r="C366" s="41" t="str">
        <f>IFERROR(VLOOKUP("LB",'[1]Informacion '!P:Q,2,FALSE),"")</f>
        <v>Libra </v>
      </c>
      <c r="D366" s="39">
        <v>20</v>
      </c>
      <c r="E366" s="42">
        <v>45</v>
      </c>
      <c r="F366" s="43">
        <f t="shared" ca="1" si="12"/>
        <v>900</v>
      </c>
    </row>
    <row r="367" spans="1:6" ht="18.75" customHeight="1" x14ac:dyDescent="0.25">
      <c r="A367" s="39" t="s">
        <v>62</v>
      </c>
      <c r="B367" s="40" t="str">
        <f ca="1">IFERROR(INDEX(UNSPSCDes,MATCH(INDIRECT(ADDRESS(ROW(),COLUMN()-1,4)),UNSPSCCode,0)),IF(INDIRECT(ADDRESS(ROW(),COLUMN()-1,4))="50192901","Pasta sencilla o fideos",""))</f>
        <v>Pasta sencilla o fideos</v>
      </c>
      <c r="C367" s="41" t="str">
        <f>IFERROR(VLOOKUP("LB",'[1]Informacion '!P:Q,2,FALSE),"")</f>
        <v>Libra </v>
      </c>
      <c r="D367" s="39">
        <v>20</v>
      </c>
      <c r="E367" s="42">
        <v>45</v>
      </c>
      <c r="F367" s="43">
        <f t="shared" ca="1" si="12"/>
        <v>900</v>
      </c>
    </row>
    <row r="368" spans="1:6" ht="18.75" customHeight="1" x14ac:dyDescent="0.25">
      <c r="A368" s="39" t="s">
        <v>80</v>
      </c>
      <c r="B368" s="40" t="str">
        <f ca="1">IFERROR(INDEX(UNSPSCDes,MATCH(INDIRECT(ADDRESS(ROW(),COLUMN()-1,4)),UNSPSCCode,0)),IF(INDIRECT(ADDRESS(ROW(),COLUMN()-1,4))="50192902","Pasta o fideos de repisa",""))</f>
        <v>Pasta o fideos de repisa</v>
      </c>
      <c r="C368" s="41" t="str">
        <f>IFERROR(VLOOKUP("LB",'[1]Informacion '!P:Q,2,FALSE),"")</f>
        <v>Libra </v>
      </c>
      <c r="D368" s="39">
        <v>20</v>
      </c>
      <c r="E368" s="42">
        <v>45</v>
      </c>
      <c r="F368" s="43">
        <f t="shared" ca="1" si="12"/>
        <v>900</v>
      </c>
    </row>
    <row r="369" spans="1:6" ht="21.75" customHeight="1" x14ac:dyDescent="0.25">
      <c r="A369" s="39" t="s">
        <v>63</v>
      </c>
      <c r="B369" s="40" t="str">
        <f ca="1">IFERROR(INDEX(UNSPSCDes,MATCH(INDIRECT(ADDRESS(ROW(),COLUMN()-1,4)),UNSPSCCode,0)),IF(INDIRECT(ADDRESS(ROW(),COLUMN()-1,4))="50131701","Productos de leche o mantequilla frescos",""))</f>
        <v>Productos de leche o mantequilla frescos</v>
      </c>
      <c r="C369" s="41" t="str">
        <f>IFERROR(VLOOKUP("UD",'[1]Informacion '!P:Q,2,FALSE),"")</f>
        <v>Unidad</v>
      </c>
      <c r="D369" s="39">
        <v>10</v>
      </c>
      <c r="E369" s="42">
        <v>9300</v>
      </c>
      <c r="F369" s="43">
        <f t="shared" ca="1" si="12"/>
        <v>93000</v>
      </c>
    </row>
    <row r="370" spans="1:6" ht="15.75" customHeight="1" x14ac:dyDescent="0.25">
      <c r="A370" s="39" t="s">
        <v>64</v>
      </c>
      <c r="B370" s="40" t="str">
        <f ca="1">IFERROR(INDEX(UNSPSCDes,MATCH(INDIRECT(ADDRESS(ROW(),COLUMN()-1,4)),UNSPSCCode,0)),IF(INDIRECT(ADDRESS(ROW(),COLUMN()-1,4))="50192112","Maíz pira",""))</f>
        <v>Maíz pira</v>
      </c>
      <c r="C370" s="41" t="str">
        <f>IFERROR(VLOOKUP("CAJ",'[1]Informacion '!P:Q,2,FALSE),"")</f>
        <v>Caja</v>
      </c>
      <c r="D370" s="39">
        <v>10</v>
      </c>
      <c r="E370" s="42">
        <v>1504.35</v>
      </c>
      <c r="F370" s="43">
        <f t="shared" ca="1" si="12"/>
        <v>15043.5</v>
      </c>
    </row>
    <row r="371" spans="1:6" ht="20.25" customHeight="1" x14ac:dyDescent="0.25">
      <c r="A371" s="39" t="s">
        <v>65</v>
      </c>
      <c r="B371" s="40" t="str">
        <f ca="1">IFERROR(INDEX(UNSPSCDes,MATCH(INDIRECT(ADDRESS(ROW(),COLUMN()-1,4)),UNSPSCCode,0)),IF(INDIRECT(ADDRESS(ROW(),COLUMN()-1,4))="50221102","Grano de harina",""))</f>
        <v>Grano de harina</v>
      </c>
      <c r="C371" s="41" t="str">
        <f>IFERROR(VLOOKUP("CAJ",'[1]Informacion '!P:Q,2,FALSE),"")</f>
        <v>Caja</v>
      </c>
      <c r="D371" s="39">
        <v>1</v>
      </c>
      <c r="E371" s="42">
        <v>3900</v>
      </c>
      <c r="F371" s="43">
        <f t="shared" ca="1" si="12"/>
        <v>3900</v>
      </c>
    </row>
    <row r="372" spans="1:6" ht="17.25" customHeight="1" x14ac:dyDescent="0.25">
      <c r="A372" s="39" t="s">
        <v>66</v>
      </c>
      <c r="B372" s="40" t="str">
        <f ca="1">IFERROR(INDEX(UNSPSCDes,MATCH(INDIRECT(ADDRESS(ROW(),COLUMN()-1,4)),UNSPSCCode,0)),IF(INDIRECT(ADDRESS(ROW(),COLUMN()-1,4))="50171831","Salsas para cocinar",""))</f>
        <v>Salsas para cocinar</v>
      </c>
      <c r="C372" s="41" t="str">
        <f>IFERROR(VLOOKUP("CAJ",'[1]Informacion '!P:Q,2,FALSE),"")</f>
        <v>Caja</v>
      </c>
      <c r="D372" s="39">
        <v>5</v>
      </c>
      <c r="E372" s="42">
        <v>4100</v>
      </c>
      <c r="F372" s="43">
        <f t="shared" ca="1" si="12"/>
        <v>20500</v>
      </c>
    </row>
    <row r="373" spans="1:6" x14ac:dyDescent="0.25">
      <c r="A373" s="39" t="s">
        <v>65</v>
      </c>
      <c r="B373" s="40" t="str">
        <f ca="1">IFERROR(INDEX(UNSPSCDes,MATCH(INDIRECT(ADDRESS(ROW(),COLUMN()-1,4)),UNSPSCCode,0)),IF(INDIRECT(ADDRESS(ROW(),COLUMN()-1,4))="50221102","Grano de harina",""))</f>
        <v>Grano de harina</v>
      </c>
      <c r="C373" s="41" t="str">
        <f>IFERROR(VLOOKUP("LB",'[1]Informacion '!P:Q,2,FALSE),"")</f>
        <v>Libra </v>
      </c>
      <c r="D373" s="39">
        <v>100</v>
      </c>
      <c r="E373" s="42">
        <v>45</v>
      </c>
      <c r="F373" s="43">
        <f t="shared" ca="1" si="12"/>
        <v>4500</v>
      </c>
    </row>
    <row r="374" spans="1:6" x14ac:dyDescent="0.25">
      <c r="A374" s="39" t="s">
        <v>65</v>
      </c>
      <c r="B374" s="40" t="str">
        <f ca="1">IFERROR(INDEX(UNSPSCDes,MATCH(INDIRECT(ADDRESS(ROW(),COLUMN()-1,4)),UNSPSCCode,0)),IF(INDIRECT(ADDRESS(ROW(),COLUMN()-1,4))="50221102","Grano de harina",""))</f>
        <v>Grano de harina</v>
      </c>
      <c r="C374" s="41" t="str">
        <f>IFERROR(VLOOKUP("CAJ",'[1]Informacion '!P:Q,2,FALSE),"")</f>
        <v>Caja</v>
      </c>
      <c r="D374" s="39">
        <v>50</v>
      </c>
      <c r="E374" s="42">
        <v>22.15</v>
      </c>
      <c r="F374" s="43">
        <f t="shared" ca="1" si="12"/>
        <v>1107.5</v>
      </c>
    </row>
    <row r="375" spans="1:6" x14ac:dyDescent="0.25">
      <c r="A375" s="39" t="s">
        <v>67</v>
      </c>
      <c r="B375" s="40" t="str">
        <f ca="1">IFERROR(INDEX(UNSPSCDes,MATCH(INDIRECT(ADDRESS(ROW(),COLUMN()-1,4)),UNSPSCCode,0)),IF(INDIRECT(ADDRESS(ROW(),COLUMN()-1,4))="50171707","Vinagres",""))</f>
        <v>Vinagres</v>
      </c>
      <c r="C375" s="41" t="str">
        <f>IFERROR(VLOOKUP("CAJ",'[1]Informacion '!P:Q,2,FALSE),"")</f>
        <v>Caja</v>
      </c>
      <c r="D375" s="39">
        <v>5</v>
      </c>
      <c r="E375" s="42">
        <v>1650</v>
      </c>
      <c r="F375" s="43">
        <f t="shared" ca="1" si="12"/>
        <v>8250</v>
      </c>
    </row>
    <row r="376" spans="1:6" ht="21" customHeight="1" x14ac:dyDescent="0.25">
      <c r="A376" s="39" t="s">
        <v>63</v>
      </c>
      <c r="B376" s="40" t="str">
        <f ca="1">IFERROR(INDEX(UNSPSCDes,MATCH(INDIRECT(ADDRESS(ROW(),COLUMN()-1,4)),UNSPSCCode,0)),IF(INDIRECT(ADDRESS(ROW(),COLUMN()-1,4))="50131701","Productos de leche o mantequilla frescos",""))</f>
        <v>Productos de leche o mantequilla frescos</v>
      </c>
      <c r="C376" s="41" t="str">
        <f>IFERROR(VLOOKUP("UD",'[1]Informacion '!P:Q,2,FALSE),"")</f>
        <v>Unidad</v>
      </c>
      <c r="D376" s="39">
        <v>3</v>
      </c>
      <c r="E376" s="42">
        <v>2500</v>
      </c>
      <c r="F376" s="43">
        <f t="shared" ca="1" si="12"/>
        <v>7500</v>
      </c>
    </row>
    <row r="377" spans="1:6" x14ac:dyDescent="0.25">
      <c r="A377" s="39" t="s">
        <v>68</v>
      </c>
      <c r="B377" s="40" t="str">
        <f ca="1">IFERROR(INDEX(UNSPSCDes,MATCH(INDIRECT(ADDRESS(ROW(),COLUMN()-1,4)),UNSPSCCode,0)),IF(INDIRECT(ADDRESS(ROW(),COLUMN()-1,4))="50201706","Café",""))</f>
        <v>Café</v>
      </c>
      <c r="C377" s="41" t="str">
        <f>IFERROR(VLOOKUP("UD",'[1]Informacion '!P:Q,2,FALSE),"")</f>
        <v>Unidad</v>
      </c>
      <c r="D377" s="39">
        <v>5</v>
      </c>
      <c r="E377" s="42">
        <v>6000</v>
      </c>
      <c r="F377" s="43">
        <f t="shared" ca="1" si="12"/>
        <v>30000</v>
      </c>
    </row>
    <row r="378" spans="1:6" ht="18" customHeight="1" x14ac:dyDescent="0.25">
      <c r="A378" s="39" t="s">
        <v>70</v>
      </c>
      <c r="B378" s="40" t="str">
        <f ca="1">IFERROR(INDEX(UNSPSCDes,MATCH(INDIRECT(ADDRESS(ROW(),COLUMN()-1,4)),UNSPSCCode,0)),IF(INDIRECT(ADDRESS(ROW(),COLUMN()-1,4))="50181909","Galletas de soda",""))</f>
        <v>Galletas de soda</v>
      </c>
      <c r="C378" s="41" t="str">
        <f>IFERROR(VLOOKUP("UD",'[1]Informacion '!P:Q,2,FALSE),"")</f>
        <v>Unidad</v>
      </c>
      <c r="D378" s="39">
        <v>14</v>
      </c>
      <c r="E378" s="42">
        <v>1100</v>
      </c>
      <c r="F378" s="43">
        <f t="shared" ca="1" si="12"/>
        <v>15400</v>
      </c>
    </row>
    <row r="379" spans="1:6" ht="18.75" customHeight="1" x14ac:dyDescent="0.25">
      <c r="A379" s="39" t="s">
        <v>65</v>
      </c>
      <c r="B379" s="40" t="str">
        <f ca="1">IFERROR(INDEX(UNSPSCDes,MATCH(INDIRECT(ADDRESS(ROW(),COLUMN()-1,4)),UNSPSCCode,0)),IF(INDIRECT(ADDRESS(ROW(),COLUMN()-1,4))="50221102","Grano de harina",""))</f>
        <v>Grano de harina</v>
      </c>
      <c r="C379" s="41" t="str">
        <f>IFERROR(VLOOKUP("LB",'[1]Informacion '!P:Q,2,FALSE),"")</f>
        <v>Libra </v>
      </c>
      <c r="D379" s="39">
        <v>1</v>
      </c>
      <c r="E379" s="42">
        <v>5100</v>
      </c>
      <c r="F379" s="43">
        <f t="shared" ca="1" si="12"/>
        <v>5100</v>
      </c>
    </row>
    <row r="380" spans="1:6" ht="17.25" customHeight="1" x14ac:dyDescent="0.25">
      <c r="A380" s="39" t="s">
        <v>71</v>
      </c>
      <c r="B380" s="40" t="str">
        <f ca="1">IFERROR(INDEX(UNSPSCDes,MATCH(INDIRECT(ADDRESS(ROW(),COLUMN()-1,4)),UNSPSCCode,0)),IF(INDIRECT(ADDRESS(ROW(),COLUMN()-1,4))="50121537","Pescado congelado",""))</f>
        <v>Pescado congelado</v>
      </c>
      <c r="C380" s="41" t="str">
        <f>IFERROR(VLOOKUP("CAJ",'[1]Informacion '!P:Q,2,FALSE),"")</f>
        <v>Caja</v>
      </c>
      <c r="D380" s="39">
        <v>12</v>
      </c>
      <c r="E380" s="42">
        <v>3810</v>
      </c>
      <c r="F380" s="43">
        <f t="shared" ca="1" si="12"/>
        <v>45720</v>
      </c>
    </row>
    <row r="381" spans="1:6" ht="17.25" customHeight="1" x14ac:dyDescent="0.25">
      <c r="A381" s="39" t="s">
        <v>71</v>
      </c>
      <c r="B381" s="40" t="str">
        <f ca="1">IFERROR(INDEX(UNSPSCDes,MATCH(INDIRECT(ADDRESS(ROW(),COLUMN()-1,4)),UNSPSCCode,0)),IF(INDIRECT(ADDRESS(ROW(),COLUMN()-1,4))="50121537","Pescado congelado",""))</f>
        <v>Pescado congelado</v>
      </c>
      <c r="C381" s="41" t="str">
        <f>IFERROR(VLOOKUP("CAJ",'[1]Informacion '!P:Q,2,FALSE),"")</f>
        <v>Caja</v>
      </c>
      <c r="D381" s="39">
        <v>5</v>
      </c>
      <c r="E381" s="42">
        <v>10500</v>
      </c>
      <c r="F381" s="43">
        <f t="shared" ca="1" si="12"/>
        <v>52500</v>
      </c>
    </row>
    <row r="382" spans="1:6" x14ac:dyDescent="0.25">
      <c r="A382" s="39" t="s">
        <v>65</v>
      </c>
      <c r="B382" s="40" t="str">
        <f ca="1">IFERROR(INDEX(UNSPSCDes,MATCH(INDIRECT(ADDRESS(ROW(),COLUMN()-1,4)),UNSPSCCode,0)),IF(INDIRECT(ADDRESS(ROW(),COLUMN()-1,4))="50221102","Grano de harina",""))</f>
        <v>Grano de harina</v>
      </c>
      <c r="C382" s="41" t="str">
        <f>IFERROR(VLOOKUP("LB",'[1]Informacion '!P:Q,2,FALSE),"")</f>
        <v>Libra </v>
      </c>
      <c r="D382" s="39">
        <v>60</v>
      </c>
      <c r="E382" s="42">
        <v>35</v>
      </c>
      <c r="F382" s="43">
        <f t="shared" ca="1" si="12"/>
        <v>2100</v>
      </c>
    </row>
    <row r="383" spans="1:6" ht="22.5" x14ac:dyDescent="0.25">
      <c r="A383" s="39" t="s">
        <v>71</v>
      </c>
      <c r="B383" s="40" t="str">
        <f ca="1">IFERROR(INDEX(UNSPSCDes,MATCH(INDIRECT(ADDRESS(ROW(),COLUMN()-1,4)),UNSPSCCode,0)),IF(INDIRECT(ADDRESS(ROW(),COLUMN()-1,4))="50121537","Pescado congelado",""))</f>
        <v>Pescado congelado</v>
      </c>
      <c r="C383" s="41" t="str">
        <f>IFERROR(VLOOKUP("CAJ",'[1]Informacion '!P:Q,2,FALSE),"")</f>
        <v>Caja</v>
      </c>
      <c r="D383" s="39">
        <v>12</v>
      </c>
      <c r="E383" s="42">
        <v>2500</v>
      </c>
      <c r="F383" s="43">
        <f t="shared" ca="1" si="12"/>
        <v>30000</v>
      </c>
    </row>
    <row r="384" spans="1:6" x14ac:dyDescent="0.25">
      <c r="A384" s="39" t="s">
        <v>72</v>
      </c>
      <c r="B384" s="40" t="str">
        <f ca="1">IFERROR(INDEX(UNSPSCDes,MATCH(INDIRECT(ADDRESS(ROW(),COLUMN()-1,4)),UNSPSCCode,0)),IF(INDIRECT(ADDRESS(ROW(),COLUMN()-1,4))="50171551","Sal de mesa",""))</f>
        <v>Sal de mesa</v>
      </c>
      <c r="C384" s="41" t="str">
        <f>IFERROR(VLOOKUP("LB",'[1]Informacion '!P:Q,2,FALSE),"")</f>
        <v>Libra </v>
      </c>
      <c r="D384" s="39">
        <v>200</v>
      </c>
      <c r="E384" s="42">
        <v>16</v>
      </c>
      <c r="F384" s="43">
        <f t="shared" ca="1" si="12"/>
        <v>3200</v>
      </c>
    </row>
    <row r="385" spans="1:6" x14ac:dyDescent="0.25">
      <c r="A385" s="39" t="s">
        <v>73</v>
      </c>
      <c r="B385" s="40" t="str">
        <f ca="1">IFERROR(INDEX(UNSPSCDes,MATCH(INDIRECT(ADDRESS(ROW(),COLUMN()-1,4)),UNSPSCCode,0)),IF(INDIRECT(ADDRESS(ROW(),COLUMN()-1,4))="50171903","Aceitunas",""))</f>
        <v>Aceitunas</v>
      </c>
      <c r="C385" s="41" t="str">
        <f>IFERROR(VLOOKUP("CAJ",'[1]Informacion '!P:Q,2,FALSE),"")</f>
        <v>Caja</v>
      </c>
      <c r="D385" s="39">
        <v>2</v>
      </c>
      <c r="E385" s="42">
        <v>1150</v>
      </c>
      <c r="F385" s="43">
        <f t="shared" ca="1" si="12"/>
        <v>2300</v>
      </c>
    </row>
    <row r="386" spans="1:6" x14ac:dyDescent="0.25">
      <c r="A386" s="39" t="s">
        <v>73</v>
      </c>
      <c r="B386" s="40" t="str">
        <f ca="1">IFERROR(INDEX(UNSPSCDes,MATCH(INDIRECT(ADDRESS(ROW(),COLUMN()-1,4)),UNSPSCCode,0)),IF(INDIRECT(ADDRESS(ROW(),COLUMN()-1,4))="50171903","Aceitunas",""))</f>
        <v>Aceitunas</v>
      </c>
      <c r="C386" s="41" t="str">
        <f>IFERROR(VLOOKUP("CAJ",'[1]Informacion '!P:Q,2,FALSE),"")</f>
        <v>Caja</v>
      </c>
      <c r="D386" s="39">
        <v>2</v>
      </c>
      <c r="E386" s="42">
        <v>1150</v>
      </c>
      <c r="F386" s="43">
        <f t="shared" ca="1" si="12"/>
        <v>2300</v>
      </c>
    </row>
    <row r="387" spans="1:6" ht="21" customHeight="1" x14ac:dyDescent="0.25">
      <c r="A387" s="39" t="s">
        <v>63</v>
      </c>
      <c r="B387" s="40" t="str">
        <f ca="1">IFERROR(INDEX(UNSPSCDes,MATCH(INDIRECT(ADDRESS(ROW(),COLUMN()-1,4)),UNSPSCCode,0)),IF(INDIRECT(ADDRESS(ROW(),COLUMN()-1,4))="50131701","Productos de leche o mantequilla frescos",""))</f>
        <v>Productos de leche o mantequilla frescos</v>
      </c>
      <c r="C387" s="41" t="str">
        <f>IFERROR(VLOOKUP("CAJ",'[1]Informacion '!P:Q,2,FALSE),"")</f>
        <v>Caja</v>
      </c>
      <c r="D387" s="39">
        <v>1</v>
      </c>
      <c r="E387" s="42">
        <v>3258.75</v>
      </c>
      <c r="F387" s="43">
        <f t="shared" ca="1" si="12"/>
        <v>3258.75</v>
      </c>
    </row>
    <row r="388" spans="1:6" ht="20.25" customHeight="1" x14ac:dyDescent="0.25">
      <c r="A388" s="39" t="s">
        <v>45</v>
      </c>
      <c r="B388" s="40" t="str">
        <f ca="1">IFERROR(INDEX(UNSPSCDes,MATCH(INDIRECT(ADDRESS(ROW(),COLUMN()-1,4)),UNSPSCCode,0)),IF(INDIRECT(ADDRESS(ROW(),COLUMN()-1,4))="50151513","Aceites vegetales o  de planta comestibles",""))</f>
        <v>Aceites vegetales o  de planta comestibles</v>
      </c>
      <c r="C388" s="41" t="str">
        <f>IFERROR(VLOOKUP("LB",'[1]Informacion '!P:Q,2,FALSE),"")</f>
        <v>Libra </v>
      </c>
      <c r="D388" s="39">
        <v>10</v>
      </c>
      <c r="E388" s="42">
        <v>420</v>
      </c>
      <c r="F388" s="43">
        <f t="shared" ca="1" si="12"/>
        <v>4200</v>
      </c>
    </row>
    <row r="389" spans="1:6" ht="19.5" customHeight="1" x14ac:dyDescent="0.25">
      <c r="A389" s="39" t="s">
        <v>77</v>
      </c>
      <c r="B389" s="40" t="str">
        <f ca="1">IFERROR(INDEX(UNSPSCDes,MATCH(INDIRECT(ADDRESS(ROW(),COLUMN()-1,4)),UNSPSCCode,0)),IF(INDIRECT(ADDRESS(ROW(),COLUMN()-1,4))="50171832","Salsas para ensaladas o dips",""))</f>
        <v>Salsas para ensaladas o dips</v>
      </c>
      <c r="C389" s="41" t="str">
        <f>IFERROR(VLOOKUP("GAL",'[1]Informacion '!P:Q,2,FALSE),"")</f>
        <v>Galón</v>
      </c>
      <c r="D389" s="39">
        <v>1</v>
      </c>
      <c r="E389" s="42">
        <v>1000</v>
      </c>
      <c r="F389" s="43">
        <f t="shared" ca="1" si="12"/>
        <v>1000</v>
      </c>
    </row>
    <row r="390" spans="1:6" ht="18" customHeight="1" x14ac:dyDescent="0.25">
      <c r="A390" s="39" t="s">
        <v>67</v>
      </c>
      <c r="B390" s="40" t="str">
        <f ca="1">IFERROR(INDEX(UNSPSCDes,MATCH(INDIRECT(ADDRESS(ROW(),COLUMN()-1,4)),UNSPSCCode,0)),IF(INDIRECT(ADDRESS(ROW(),COLUMN()-1,4))="50171707","Vinagres",""))</f>
        <v>Vinagres</v>
      </c>
      <c r="C390" s="41" t="str">
        <f>IFERROR(VLOOKUP("CAJ",'[1]Informacion '!P:Q,2,FALSE),"")</f>
        <v>Caja</v>
      </c>
      <c r="D390" s="39">
        <v>3</v>
      </c>
      <c r="E390" s="42">
        <v>1650</v>
      </c>
      <c r="F390" s="43">
        <f t="shared" ca="1" si="12"/>
        <v>4950</v>
      </c>
    </row>
    <row r="391" spans="1:6" x14ac:dyDescent="0.25">
      <c r="A391" s="46"/>
      <c r="B391" s="46"/>
      <c r="C391" s="46"/>
      <c r="D391" s="46"/>
      <c r="E391" s="44" t="s">
        <v>46</v>
      </c>
      <c r="F391" s="45">
        <f ca="1">SUM(Table12[MONTO TOTAL ESTIMADO])</f>
        <v>525304.75</v>
      </c>
    </row>
    <row r="392" spans="1:6" ht="15.75" thickBot="1" x14ac:dyDescent="0.3">
      <c r="A392" s="46"/>
      <c r="B392" s="46"/>
      <c r="C392" s="46"/>
      <c r="D392" s="46"/>
      <c r="E392" s="46"/>
      <c r="F392" s="46"/>
    </row>
    <row r="393" spans="1:6" ht="34.5" thickBot="1" x14ac:dyDescent="0.3">
      <c r="A393" s="29" t="s">
        <v>18</v>
      </c>
      <c r="B393" s="29" t="s">
        <v>19</v>
      </c>
      <c r="C393" s="29" t="s">
        <v>20</v>
      </c>
      <c r="D393" s="29" t="s">
        <v>21</v>
      </c>
      <c r="E393" s="29" t="s">
        <v>22</v>
      </c>
      <c r="F393" s="29" t="s">
        <v>23</v>
      </c>
    </row>
    <row r="394" spans="1:6" ht="15.75" thickBot="1" x14ac:dyDescent="0.3">
      <c r="A394" s="30" t="s">
        <v>56</v>
      </c>
      <c r="B394" s="30" t="s">
        <v>78</v>
      </c>
      <c r="C394" s="30" t="s">
        <v>26</v>
      </c>
      <c r="D394" s="30" t="s">
        <v>27</v>
      </c>
      <c r="E394" s="30" t="s">
        <v>28</v>
      </c>
      <c r="F394" s="30" t="s">
        <v>17</v>
      </c>
    </row>
    <row r="395" spans="1:6" ht="15.75" thickBot="1" x14ac:dyDescent="0.3">
      <c r="A395" s="31" t="s">
        <v>29</v>
      </c>
      <c r="B395" s="32" t="s">
        <v>30</v>
      </c>
      <c r="C395" s="33">
        <v>46358</v>
      </c>
      <c r="D395" s="31" t="s">
        <v>31</v>
      </c>
      <c r="E395" s="34" t="s">
        <v>32</v>
      </c>
      <c r="F395" s="35" t="s">
        <v>33</v>
      </c>
    </row>
    <row r="396" spans="1:6" ht="15.75" thickBot="1" x14ac:dyDescent="0.3">
      <c r="A396" s="36"/>
      <c r="B396" s="32" t="s">
        <v>34</v>
      </c>
      <c r="C396" s="37">
        <f>IF(C395="","",IF(AND(MONTH(C395)&gt;=1,MONTH(C395)&lt;=3),1,IF(AND(MONTH(C395)&gt;=4,MONTH(C395)&lt;=6),2,IF(AND(MONTH(C395)&gt;=7,MONTH(C395)&lt;=9),3,4))))</f>
        <v>4</v>
      </c>
      <c r="D396" s="36"/>
      <c r="E396" s="34" t="s">
        <v>35</v>
      </c>
      <c r="F396" s="35"/>
    </row>
    <row r="397" spans="1:6" ht="15.75" thickBot="1" x14ac:dyDescent="0.3">
      <c r="A397" s="36"/>
      <c r="B397" s="32" t="s">
        <v>36</v>
      </c>
      <c r="C397" s="33">
        <v>46361</v>
      </c>
      <c r="D397" s="36"/>
      <c r="E397" s="34" t="s">
        <v>37</v>
      </c>
      <c r="F397" s="35"/>
    </row>
    <row r="398" spans="1:6" ht="15.75" thickBot="1" x14ac:dyDescent="0.3">
      <c r="A398" s="36"/>
      <c r="B398" s="32" t="s">
        <v>34</v>
      </c>
      <c r="C398" s="37">
        <f>IF(C397="","",IF(AND(MONTH(C397)&gt;=1,MONTH(C397)&lt;=3),1,IF(AND(MONTH(C397)&gt;=4,MONTH(C397)&lt;=6),2,IF(AND(MONTH(C397)&gt;=7,MONTH(C397)&lt;=9),3,4))))</f>
        <v>4</v>
      </c>
      <c r="D398" s="36"/>
      <c r="E398" s="34" t="s">
        <v>38</v>
      </c>
      <c r="F398" s="35"/>
    </row>
    <row r="399" spans="1:6" ht="15.75" thickBot="1" x14ac:dyDescent="0.3">
      <c r="A399" s="46"/>
      <c r="B399" s="46"/>
      <c r="C399" s="46"/>
      <c r="D399" s="46"/>
      <c r="E399" s="46"/>
      <c r="F399" s="46"/>
    </row>
    <row r="400" spans="1:6" ht="15.75" thickBot="1" x14ac:dyDescent="0.3">
      <c r="A400" s="38" t="s">
        <v>39</v>
      </c>
      <c r="B400" s="38" t="s">
        <v>40</v>
      </c>
      <c r="C400" s="38" t="s">
        <v>41</v>
      </c>
      <c r="D400" s="38" t="s">
        <v>42</v>
      </c>
      <c r="E400" s="38" t="s">
        <v>43</v>
      </c>
      <c r="F400" s="38" t="s">
        <v>44</v>
      </c>
    </row>
    <row r="401" spans="1:6" ht="21.75" customHeight="1" x14ac:dyDescent="0.25">
      <c r="A401" s="39" t="s">
        <v>45</v>
      </c>
      <c r="B401" s="40" t="str">
        <f ca="1">IFERROR(INDEX(UNSPSCDes,MATCH(INDIRECT(ADDRESS(ROW(),COLUMN()-1,4)),UNSPSCCode,0)),IF(INDIRECT(ADDRESS(ROW(),COLUMN()-1,4))="50151513","Aceites vegetales o  de planta comestibles",""))</f>
        <v>Aceites vegetales o  de planta comestibles</v>
      </c>
      <c r="C401" s="41" t="str">
        <f>IFERROR(VLOOKUP("CAJ",'[1]Informacion '!P:Q,2,FALSE),"")</f>
        <v>Caja</v>
      </c>
      <c r="D401" s="39">
        <v>10</v>
      </c>
      <c r="E401" s="42">
        <v>2280</v>
      </c>
      <c r="F401" s="43">
        <f t="shared" ref="F401:F431" ca="1" si="13">INDIRECT(ADDRESS(ROW(),COLUMN()-2,4))*INDIRECT(ADDRESS(ROW(),COLUMN()-1,4))</f>
        <v>22800</v>
      </c>
    </row>
    <row r="402" spans="1:6" ht="20.25" customHeight="1" x14ac:dyDescent="0.25">
      <c r="A402" s="39" t="s">
        <v>58</v>
      </c>
      <c r="B402" s="40" t="str">
        <f ca="1">IFERROR(INDEX(UNSPSCDes,MATCH(INDIRECT(ADDRESS(ROW(),COLUMN()-1,4)),UNSPSCCode,0)),IF(INDIRECT(ADDRESS(ROW(),COLUMN()-1,4))="50221101","Grano de cereal",""))</f>
        <v>Grano de cereal</v>
      </c>
      <c r="C402" s="41" t="str">
        <f>IFERROR(VLOOKUP("LB",'[1]Informacion '!P:Q,2,FALSE),"")</f>
        <v>Libra </v>
      </c>
      <c r="D402" s="39">
        <v>48</v>
      </c>
      <c r="E402" s="42">
        <v>100</v>
      </c>
      <c r="F402" s="43">
        <f t="shared" ca="1" si="13"/>
        <v>4800</v>
      </c>
    </row>
    <row r="403" spans="1:6" ht="18.75" customHeight="1" x14ac:dyDescent="0.25">
      <c r="A403" s="39" t="s">
        <v>59</v>
      </c>
      <c r="B403" s="40" t="str">
        <f ca="1">IFERROR(INDEX(UNSPSCDes,MATCH(INDIRECT(ADDRESS(ROW(),COLUMN()-1,4)),UNSPSCCode,0)),IF(INDIRECT(ADDRESS(ROW(),COLUMN()-1,4))="50101543","Judías secas",""))</f>
        <v>Judías secas</v>
      </c>
      <c r="C403" s="41" t="str">
        <f>IFERROR(VLOOKUP("CAJ",'[1]Informacion '!P:Q,2,FALSE),"")</f>
        <v>Caja</v>
      </c>
      <c r="D403" s="39">
        <v>12</v>
      </c>
      <c r="E403" s="42">
        <v>2400</v>
      </c>
      <c r="F403" s="43">
        <f t="shared" ca="1" si="13"/>
        <v>28800</v>
      </c>
    </row>
    <row r="404" spans="1:6" ht="18" customHeight="1" x14ac:dyDescent="0.25">
      <c r="A404" s="39" t="s">
        <v>58</v>
      </c>
      <c r="B404" s="40" t="str">
        <f ca="1">IFERROR(INDEX(UNSPSCDes,MATCH(INDIRECT(ADDRESS(ROW(),COLUMN()-1,4)),UNSPSCCode,0)),IF(INDIRECT(ADDRESS(ROW(),COLUMN()-1,4))="50221101","Grano de cereal",""))</f>
        <v>Grano de cereal</v>
      </c>
      <c r="C404" s="41" t="str">
        <f>IFERROR(VLOOKUP("LB",'[1]Informacion '!P:Q,2,FALSE),"")</f>
        <v>Libra </v>
      </c>
      <c r="D404" s="39">
        <v>2875</v>
      </c>
      <c r="E404" s="42">
        <v>27</v>
      </c>
      <c r="F404" s="43">
        <f t="shared" ca="1" si="13"/>
        <v>77625</v>
      </c>
    </row>
    <row r="405" spans="1:6" ht="18.75" customHeight="1" x14ac:dyDescent="0.25">
      <c r="A405" s="39" t="s">
        <v>60</v>
      </c>
      <c r="B405" s="40" t="str">
        <f ca="1">IFERROR(INDEX(UNSPSCDes,MATCH(INDIRECT(ADDRESS(ROW(),COLUMN()-1,4)),UNSPSCCode,0)),IF(INDIRECT(ADDRESS(ROW(),COLUMN()-1,4))="50161814","Azúcar o sustituto de azúcar, confite",""))</f>
        <v>Azúcar o sustituto de azúcar, confite</v>
      </c>
      <c r="C405" s="41" t="str">
        <f>IFERROR(VLOOKUP("LB",'[1]Informacion '!P:Q,2,FALSE),"")</f>
        <v>Libra </v>
      </c>
      <c r="D405" s="39">
        <v>625</v>
      </c>
      <c r="E405" s="42">
        <v>30</v>
      </c>
      <c r="F405" s="43">
        <f t="shared" ca="1" si="13"/>
        <v>18750</v>
      </c>
    </row>
    <row r="406" spans="1:6" ht="15.75" customHeight="1" x14ac:dyDescent="0.25">
      <c r="A406" s="39" t="s">
        <v>61</v>
      </c>
      <c r="B406" s="40" t="str">
        <f ca="1">IFERROR(INDEX(UNSPSCDes,MATCH(INDIRECT(ADDRESS(ROW(),COLUMN()-1,4)),UNSPSCCode,0)),IF(INDIRECT(ADDRESS(ROW(),COLUMN()-1,4))="50161511","Chocolate o sustituto de chocolate",""))</f>
        <v>Chocolate o sustituto de chocolate</v>
      </c>
      <c r="C406" s="41" t="str">
        <f>IFERROR(VLOOKUP("CAJ",'[1]Informacion '!P:Q,2,FALSE),"")</f>
        <v>Caja</v>
      </c>
      <c r="D406" s="39">
        <v>2</v>
      </c>
      <c r="E406" s="42">
        <v>7000</v>
      </c>
      <c r="F406" s="43">
        <f t="shared" ca="1" si="13"/>
        <v>14000</v>
      </c>
    </row>
    <row r="407" spans="1:6" ht="18.75" customHeight="1" x14ac:dyDescent="0.25">
      <c r="A407" s="39" t="s">
        <v>62</v>
      </c>
      <c r="B407" s="40" t="str">
        <f ca="1">IFERROR(INDEX(UNSPSCDes,MATCH(INDIRECT(ADDRESS(ROW(),COLUMN()-1,4)),UNSPSCCode,0)),IF(INDIRECT(ADDRESS(ROW(),COLUMN()-1,4))="50192901","Pasta sencilla o fideos",""))</f>
        <v>Pasta sencilla o fideos</v>
      </c>
      <c r="C407" s="41" t="str">
        <f>IFERROR(VLOOKUP("LB",'[1]Informacion '!P:Q,2,FALSE),"")</f>
        <v>Libra </v>
      </c>
      <c r="D407" s="39">
        <v>20</v>
      </c>
      <c r="E407" s="42">
        <v>45</v>
      </c>
      <c r="F407" s="43">
        <f t="shared" ca="1" si="13"/>
        <v>900</v>
      </c>
    </row>
    <row r="408" spans="1:6" ht="18.75" customHeight="1" x14ac:dyDescent="0.25">
      <c r="A408" s="39" t="s">
        <v>62</v>
      </c>
      <c r="B408" s="40" t="str">
        <f ca="1">IFERROR(INDEX(UNSPSCDes,MATCH(INDIRECT(ADDRESS(ROW(),COLUMN()-1,4)),UNSPSCCode,0)),IF(INDIRECT(ADDRESS(ROW(),COLUMN()-1,4))="50192901","Pasta sencilla o fideos",""))</f>
        <v>Pasta sencilla o fideos</v>
      </c>
      <c r="C408" s="41" t="str">
        <f>IFERROR(VLOOKUP("LB",'[1]Informacion '!P:Q,2,FALSE),"")</f>
        <v>Libra </v>
      </c>
      <c r="D408" s="39">
        <v>20</v>
      </c>
      <c r="E408" s="42">
        <v>45</v>
      </c>
      <c r="F408" s="43">
        <f t="shared" ca="1" si="13"/>
        <v>900</v>
      </c>
    </row>
    <row r="409" spans="1:6" ht="17.25" customHeight="1" x14ac:dyDescent="0.25">
      <c r="A409" s="39" t="s">
        <v>62</v>
      </c>
      <c r="B409" s="40" t="str">
        <f ca="1">IFERROR(INDEX(UNSPSCDes,MATCH(INDIRECT(ADDRESS(ROW(),COLUMN()-1,4)),UNSPSCCode,0)),IF(INDIRECT(ADDRESS(ROW(),COLUMN()-1,4))="50192901","Pasta sencilla o fideos",""))</f>
        <v>Pasta sencilla o fideos</v>
      </c>
      <c r="C409" s="41" t="str">
        <f>IFERROR(VLOOKUP("LB",'[1]Informacion '!P:Q,2,FALSE),"")</f>
        <v>Libra </v>
      </c>
      <c r="D409" s="39">
        <v>20</v>
      </c>
      <c r="E409" s="42">
        <v>45</v>
      </c>
      <c r="F409" s="43">
        <f t="shared" ca="1" si="13"/>
        <v>900</v>
      </c>
    </row>
    <row r="410" spans="1:6" ht="20.25" customHeight="1" x14ac:dyDescent="0.25">
      <c r="A410" s="39" t="s">
        <v>63</v>
      </c>
      <c r="B410" s="40" t="str">
        <f ca="1">IFERROR(INDEX(UNSPSCDes,MATCH(INDIRECT(ADDRESS(ROW(),COLUMN()-1,4)),UNSPSCCode,0)),IF(INDIRECT(ADDRESS(ROW(),COLUMN()-1,4))="50131701","Productos de leche o mantequilla frescos",""))</f>
        <v>Productos de leche o mantequilla frescos</v>
      </c>
      <c r="C410" s="41" t="str">
        <f>IFERROR(VLOOKUP("UD",'[1]Informacion '!P:Q,2,FALSE),"")</f>
        <v>Unidad</v>
      </c>
      <c r="D410" s="39">
        <v>10</v>
      </c>
      <c r="E410" s="42">
        <v>9300</v>
      </c>
      <c r="F410" s="43">
        <f t="shared" ca="1" si="13"/>
        <v>93000</v>
      </c>
    </row>
    <row r="411" spans="1:6" x14ac:dyDescent="0.25">
      <c r="A411" s="39" t="s">
        <v>64</v>
      </c>
      <c r="B411" s="40" t="str">
        <f ca="1">IFERROR(INDEX(UNSPSCDes,MATCH(INDIRECT(ADDRESS(ROW(),COLUMN()-1,4)),UNSPSCCode,0)),IF(INDIRECT(ADDRESS(ROW(),COLUMN()-1,4))="50192112","Maíz pira",""))</f>
        <v>Maíz pira</v>
      </c>
      <c r="C411" s="41" t="str">
        <f>IFERROR(VLOOKUP("CAJ",'[1]Informacion '!P:Q,2,FALSE),"")</f>
        <v>Caja</v>
      </c>
      <c r="D411" s="39">
        <v>10</v>
      </c>
      <c r="E411" s="42">
        <v>1504.35</v>
      </c>
      <c r="F411" s="43">
        <f t="shared" ca="1" si="13"/>
        <v>15043.5</v>
      </c>
    </row>
    <row r="412" spans="1:6" x14ac:dyDescent="0.25">
      <c r="A412" s="39" t="s">
        <v>65</v>
      </c>
      <c r="B412" s="40" t="str">
        <f ca="1">IFERROR(INDEX(UNSPSCDes,MATCH(INDIRECT(ADDRESS(ROW(),COLUMN()-1,4)),UNSPSCCode,0)),IF(INDIRECT(ADDRESS(ROW(),COLUMN()-1,4))="50221102","Grano de harina",""))</f>
        <v>Grano de harina</v>
      </c>
      <c r="C412" s="41" t="str">
        <f>IFERROR(VLOOKUP("CAJ",'[1]Informacion '!P:Q,2,FALSE),"")</f>
        <v>Caja</v>
      </c>
      <c r="D412" s="39">
        <v>1</v>
      </c>
      <c r="E412" s="42">
        <v>3900</v>
      </c>
      <c r="F412" s="43">
        <f t="shared" ca="1" si="13"/>
        <v>3900</v>
      </c>
    </row>
    <row r="413" spans="1:6" ht="15.75" customHeight="1" x14ac:dyDescent="0.25">
      <c r="A413" s="39" t="s">
        <v>66</v>
      </c>
      <c r="B413" s="40" t="str">
        <f ca="1">IFERROR(INDEX(UNSPSCDes,MATCH(INDIRECT(ADDRESS(ROW(),COLUMN()-1,4)),UNSPSCCode,0)),IF(INDIRECT(ADDRESS(ROW(),COLUMN()-1,4))="50171831","Salsas para cocinar",""))</f>
        <v>Salsas para cocinar</v>
      </c>
      <c r="C413" s="41" t="str">
        <f>IFERROR(VLOOKUP("CAJ",'[1]Informacion '!P:Q,2,FALSE),"")</f>
        <v>Caja</v>
      </c>
      <c r="D413" s="39">
        <v>5</v>
      </c>
      <c r="E413" s="42">
        <v>4100</v>
      </c>
      <c r="F413" s="43">
        <f t="shared" ca="1" si="13"/>
        <v>20500</v>
      </c>
    </row>
    <row r="414" spans="1:6" ht="18.75" customHeight="1" x14ac:dyDescent="0.25">
      <c r="A414" s="39" t="s">
        <v>65</v>
      </c>
      <c r="B414" s="40" t="str">
        <f ca="1">IFERROR(INDEX(UNSPSCDes,MATCH(INDIRECT(ADDRESS(ROW(),COLUMN()-1,4)),UNSPSCCode,0)),IF(INDIRECT(ADDRESS(ROW(),COLUMN()-1,4))="50221102","Grano de harina",""))</f>
        <v>Grano de harina</v>
      </c>
      <c r="C414" s="41" t="str">
        <f>IFERROR(VLOOKUP("LB",'[1]Informacion '!P:Q,2,FALSE),"")</f>
        <v>Libra </v>
      </c>
      <c r="D414" s="39">
        <v>100</v>
      </c>
      <c r="E414" s="42">
        <v>45</v>
      </c>
      <c r="F414" s="43">
        <f t="shared" ca="1" si="13"/>
        <v>4500</v>
      </c>
    </row>
    <row r="415" spans="1:6" ht="20.25" customHeight="1" x14ac:dyDescent="0.25">
      <c r="A415" s="39" t="s">
        <v>65</v>
      </c>
      <c r="B415" s="40" t="str">
        <f ca="1">IFERROR(INDEX(UNSPSCDes,MATCH(INDIRECT(ADDRESS(ROW(),COLUMN()-1,4)),UNSPSCCode,0)),IF(INDIRECT(ADDRESS(ROW(),COLUMN()-1,4))="50221102","Grano de harina",""))</f>
        <v>Grano de harina</v>
      </c>
      <c r="C415" s="41" t="str">
        <f>IFERROR(VLOOKUP("LB",'[1]Informacion '!P:Q,2,FALSE),"")</f>
        <v>Libra </v>
      </c>
      <c r="D415" s="39">
        <v>50</v>
      </c>
      <c r="E415" s="42">
        <v>22.15</v>
      </c>
      <c r="F415" s="43">
        <f t="shared" ca="1" si="13"/>
        <v>1107.5</v>
      </c>
    </row>
    <row r="416" spans="1:6" ht="17.25" customHeight="1" x14ac:dyDescent="0.25">
      <c r="A416" s="39" t="s">
        <v>67</v>
      </c>
      <c r="B416" s="40" t="str">
        <f ca="1">IFERROR(INDEX(UNSPSCDes,MATCH(INDIRECT(ADDRESS(ROW(),COLUMN()-1,4)),UNSPSCCode,0)),IF(INDIRECT(ADDRESS(ROW(),COLUMN()-1,4))="50171707","Vinagres",""))</f>
        <v>Vinagres</v>
      </c>
      <c r="C416" s="41" t="str">
        <f>IFERROR(VLOOKUP("LB",'[1]Informacion '!P:Q,2,FALSE),"")</f>
        <v>Libra </v>
      </c>
      <c r="D416" s="39">
        <v>5</v>
      </c>
      <c r="E416" s="42">
        <v>1650</v>
      </c>
      <c r="F416" s="43">
        <f t="shared" ca="1" si="13"/>
        <v>8250</v>
      </c>
    </row>
    <row r="417" spans="1:6" ht="23.25" customHeight="1" x14ac:dyDescent="0.25">
      <c r="A417" s="39" t="s">
        <v>63</v>
      </c>
      <c r="B417" s="40" t="str">
        <f ca="1">IFERROR(INDEX(UNSPSCDes,MATCH(INDIRECT(ADDRESS(ROW(),COLUMN()-1,4)),UNSPSCCode,0)),IF(INDIRECT(ADDRESS(ROW(),COLUMN()-1,4))="50131701","Productos de leche o mantequilla frescos",""))</f>
        <v>Productos de leche o mantequilla frescos</v>
      </c>
      <c r="C417" s="41" t="str">
        <f>IFERROR(VLOOKUP("UD",'[1]Informacion '!P:Q,2,FALSE),"")</f>
        <v>Unidad</v>
      </c>
      <c r="D417" s="39">
        <v>3</v>
      </c>
      <c r="E417" s="42">
        <v>2500</v>
      </c>
      <c r="F417" s="43">
        <f t="shared" ca="1" si="13"/>
        <v>7500</v>
      </c>
    </row>
    <row r="418" spans="1:6" ht="21.75" customHeight="1" x14ac:dyDescent="0.25">
      <c r="A418" s="39" t="s">
        <v>81</v>
      </c>
      <c r="B418" s="40" t="str">
        <f ca="1">IFERROR(INDEX(UNSPSCDes,MATCH(INDIRECT(ADDRESS(ROW(),COLUMN()-1,4)),UNSPSCCode,0)),IF(INDIRECT(ADDRESS(ROW(),COLUMN()-1,4))="50201707","Sustituto de café",""))</f>
        <v>Sustituto de café</v>
      </c>
      <c r="C418" s="41" t="str">
        <f>IFERROR(VLOOKUP("UD",'[1]Informacion '!P:Q,2,FALSE),"")</f>
        <v>Unidad</v>
      </c>
      <c r="D418" s="39">
        <v>5</v>
      </c>
      <c r="E418" s="42">
        <v>6000</v>
      </c>
      <c r="F418" s="43">
        <f t="shared" ca="1" si="13"/>
        <v>30000</v>
      </c>
    </row>
    <row r="419" spans="1:6" ht="20.25" customHeight="1" x14ac:dyDescent="0.25">
      <c r="A419" s="39" t="s">
        <v>70</v>
      </c>
      <c r="B419" s="40" t="str">
        <f ca="1">IFERROR(INDEX(UNSPSCDes,MATCH(INDIRECT(ADDRESS(ROW(),COLUMN()-1,4)),UNSPSCCode,0)),IF(INDIRECT(ADDRESS(ROW(),COLUMN()-1,4))="50181909","Galletas de soda",""))</f>
        <v>Galletas de soda</v>
      </c>
      <c r="C419" s="41" t="str">
        <f>IFERROR(VLOOKUP("CAJ",'[1]Informacion '!P:Q,2,FALSE),"")</f>
        <v>Caja</v>
      </c>
      <c r="D419" s="39">
        <v>14</v>
      </c>
      <c r="E419" s="42">
        <v>1100</v>
      </c>
      <c r="F419" s="43">
        <f t="shared" ca="1" si="13"/>
        <v>15400</v>
      </c>
    </row>
    <row r="420" spans="1:6" ht="21" customHeight="1" x14ac:dyDescent="0.25">
      <c r="A420" s="39" t="s">
        <v>65</v>
      </c>
      <c r="B420" s="40" t="str">
        <f ca="1">IFERROR(INDEX(UNSPSCDes,MATCH(INDIRECT(ADDRESS(ROW(),COLUMN()-1,4)),UNSPSCCode,0)),IF(INDIRECT(ADDRESS(ROW(),COLUMN()-1,4))="50221102","Grano de harina",""))</f>
        <v>Grano de harina</v>
      </c>
      <c r="C420" s="41" t="str">
        <f>IFERROR(VLOOKUP("CAJ",'[1]Informacion '!P:Q,2,FALSE),"")</f>
        <v>Caja</v>
      </c>
      <c r="D420" s="39">
        <v>1</v>
      </c>
      <c r="E420" s="42">
        <v>5100</v>
      </c>
      <c r="F420" s="43">
        <f t="shared" ca="1" si="13"/>
        <v>5100</v>
      </c>
    </row>
    <row r="421" spans="1:6" ht="19.5" customHeight="1" x14ac:dyDescent="0.25">
      <c r="A421" s="39" t="s">
        <v>71</v>
      </c>
      <c r="B421" s="40" t="str">
        <f ca="1">IFERROR(INDEX(UNSPSCDes,MATCH(INDIRECT(ADDRESS(ROW(),COLUMN()-1,4)),UNSPSCCode,0)),IF(INDIRECT(ADDRESS(ROW(),COLUMN()-1,4))="50121537","Pescado congelado",""))</f>
        <v>Pescado congelado</v>
      </c>
      <c r="C421" s="41" t="str">
        <f>IFERROR(VLOOKUP("CAJ",'[1]Informacion '!P:Q,2,FALSE),"")</f>
        <v>Caja</v>
      </c>
      <c r="D421" s="39">
        <v>12</v>
      </c>
      <c r="E421" s="42">
        <v>3810</v>
      </c>
      <c r="F421" s="43">
        <f t="shared" ca="1" si="13"/>
        <v>45720</v>
      </c>
    </row>
    <row r="422" spans="1:6" ht="19.5" customHeight="1" x14ac:dyDescent="0.25">
      <c r="A422" s="39" t="s">
        <v>71</v>
      </c>
      <c r="B422" s="40" t="str">
        <f ca="1">IFERROR(INDEX(UNSPSCDes,MATCH(INDIRECT(ADDRESS(ROW(),COLUMN()-1,4)),UNSPSCCode,0)),IF(INDIRECT(ADDRESS(ROW(),COLUMN()-1,4))="50121537","Pescado congelado",""))</f>
        <v>Pescado congelado</v>
      </c>
      <c r="C422" s="41" t="str">
        <f>IFERROR(VLOOKUP("CAJ",'[1]Informacion '!P:Q,2,FALSE),"")</f>
        <v>Caja</v>
      </c>
      <c r="D422" s="39">
        <v>5</v>
      </c>
      <c r="E422" s="42">
        <v>10500</v>
      </c>
      <c r="F422" s="43">
        <f t="shared" ca="1" si="13"/>
        <v>52500</v>
      </c>
    </row>
    <row r="423" spans="1:6" ht="20.25" customHeight="1" x14ac:dyDescent="0.25">
      <c r="A423" s="39" t="s">
        <v>65</v>
      </c>
      <c r="B423" s="40" t="str">
        <f ca="1">IFERROR(INDEX(UNSPSCDes,MATCH(INDIRECT(ADDRESS(ROW(),COLUMN()-1,4)),UNSPSCCode,0)),IF(INDIRECT(ADDRESS(ROW(),COLUMN()-1,4))="50221102","Grano de harina",""))</f>
        <v>Grano de harina</v>
      </c>
      <c r="C423" s="41" t="str">
        <f>IFERROR(VLOOKUP("LB",'[1]Informacion '!P:Q,2,FALSE),"")</f>
        <v>Libra </v>
      </c>
      <c r="D423" s="39">
        <v>60</v>
      </c>
      <c r="E423" s="42">
        <v>35</v>
      </c>
      <c r="F423" s="43">
        <f t="shared" ca="1" si="13"/>
        <v>2100</v>
      </c>
    </row>
    <row r="424" spans="1:6" ht="22.5" x14ac:dyDescent="0.25">
      <c r="A424" s="39" t="s">
        <v>71</v>
      </c>
      <c r="B424" s="40" t="str">
        <f ca="1">IFERROR(INDEX(UNSPSCDes,MATCH(INDIRECT(ADDRESS(ROW(),COLUMN()-1,4)),UNSPSCCode,0)),IF(INDIRECT(ADDRESS(ROW(),COLUMN()-1,4))="50121537","Pescado congelado",""))</f>
        <v>Pescado congelado</v>
      </c>
      <c r="C424" s="41" t="str">
        <f>IFERROR(VLOOKUP("CAJ",'[1]Informacion '!P:Q,2,FALSE),"")</f>
        <v>Caja</v>
      </c>
      <c r="D424" s="39">
        <v>12</v>
      </c>
      <c r="E424" s="42">
        <v>2500</v>
      </c>
      <c r="F424" s="43">
        <f t="shared" ca="1" si="13"/>
        <v>30000</v>
      </c>
    </row>
    <row r="425" spans="1:6" ht="20.25" customHeight="1" x14ac:dyDescent="0.25">
      <c r="A425" s="39" t="s">
        <v>72</v>
      </c>
      <c r="B425" s="40" t="str">
        <f ca="1">IFERROR(INDEX(UNSPSCDes,MATCH(INDIRECT(ADDRESS(ROW(),COLUMN()-1,4)),UNSPSCCode,0)),IF(INDIRECT(ADDRESS(ROW(),COLUMN()-1,4))="50171551","Sal de mesa",""))</f>
        <v>Sal de mesa</v>
      </c>
      <c r="C425" s="41" t="str">
        <f>IFERROR(VLOOKUP("CAJ",'[1]Informacion '!P:Q,2,FALSE),"")</f>
        <v>Caja</v>
      </c>
      <c r="D425" s="39">
        <v>200</v>
      </c>
      <c r="E425" s="42">
        <v>16</v>
      </c>
      <c r="F425" s="43">
        <f t="shared" ca="1" si="13"/>
        <v>3200</v>
      </c>
    </row>
    <row r="426" spans="1:6" ht="18" customHeight="1" x14ac:dyDescent="0.25">
      <c r="A426" s="39" t="s">
        <v>73</v>
      </c>
      <c r="B426" s="40" t="str">
        <f ca="1">IFERROR(INDEX(UNSPSCDes,MATCH(INDIRECT(ADDRESS(ROW(),COLUMN()-1,4)),UNSPSCCode,0)),IF(INDIRECT(ADDRESS(ROW(),COLUMN()-1,4))="50171903","Aceitunas",""))</f>
        <v>Aceitunas</v>
      </c>
      <c r="C426" s="41" t="str">
        <f>IFERROR(VLOOKUP("CAJ",'[1]Informacion '!P:Q,2,FALSE),"")</f>
        <v>Caja</v>
      </c>
      <c r="D426" s="39">
        <v>2</v>
      </c>
      <c r="E426" s="42">
        <v>1150</v>
      </c>
      <c r="F426" s="43">
        <f t="shared" ca="1" si="13"/>
        <v>2300</v>
      </c>
    </row>
    <row r="427" spans="1:6" ht="18" customHeight="1" x14ac:dyDescent="0.25">
      <c r="A427" s="39" t="s">
        <v>73</v>
      </c>
      <c r="B427" s="40" t="str">
        <f ca="1">IFERROR(INDEX(UNSPSCDes,MATCH(INDIRECT(ADDRESS(ROW(),COLUMN()-1,4)),UNSPSCCode,0)),IF(INDIRECT(ADDRESS(ROW(),COLUMN()-1,4))="50171903","Aceitunas",""))</f>
        <v>Aceitunas</v>
      </c>
      <c r="C427" s="41" t="str">
        <f>IFERROR(VLOOKUP("CAJ",'[1]Informacion '!P:Q,2,FALSE),"")</f>
        <v>Caja</v>
      </c>
      <c r="D427" s="39">
        <v>2</v>
      </c>
      <c r="E427" s="42">
        <v>1150</v>
      </c>
      <c r="F427" s="43">
        <f t="shared" ca="1" si="13"/>
        <v>2300</v>
      </c>
    </row>
    <row r="428" spans="1:6" ht="24" customHeight="1" x14ac:dyDescent="0.25">
      <c r="A428" s="39" t="s">
        <v>63</v>
      </c>
      <c r="B428" s="40" t="str">
        <f ca="1">IFERROR(INDEX(UNSPSCDes,MATCH(INDIRECT(ADDRESS(ROW(),COLUMN()-1,4)),UNSPSCCode,0)),IF(INDIRECT(ADDRESS(ROW(),COLUMN()-1,4))="50131701","Productos de leche o mantequilla frescos",""))</f>
        <v>Productos de leche o mantequilla frescos</v>
      </c>
      <c r="C428" s="41" t="str">
        <f>IFERROR(VLOOKUP("CAJ",'[1]Informacion '!P:Q,2,FALSE),"")</f>
        <v>Caja</v>
      </c>
      <c r="D428" s="39">
        <v>1</v>
      </c>
      <c r="E428" s="42">
        <v>3258.75</v>
      </c>
      <c r="F428" s="43">
        <f t="shared" ca="1" si="13"/>
        <v>3258.75</v>
      </c>
    </row>
    <row r="429" spans="1:6" ht="18.75" customHeight="1" x14ac:dyDescent="0.25">
      <c r="A429" s="39" t="s">
        <v>45</v>
      </c>
      <c r="B429" s="40" t="str">
        <f ca="1">IFERROR(INDEX(UNSPSCDes,MATCH(INDIRECT(ADDRESS(ROW(),COLUMN()-1,4)),UNSPSCCode,0)),IF(INDIRECT(ADDRESS(ROW(),COLUMN()-1,4))="50151513","Aceites vegetales o  de planta comestibles",""))</f>
        <v>Aceites vegetales o  de planta comestibles</v>
      </c>
      <c r="C429" s="41" t="str">
        <f>IFERROR(VLOOKUP("LB",'[1]Informacion '!P:Q,2,FALSE),"")</f>
        <v>Libra </v>
      </c>
      <c r="D429" s="39">
        <v>10</v>
      </c>
      <c r="E429" s="42">
        <v>420</v>
      </c>
      <c r="F429" s="43">
        <f t="shared" ca="1" si="13"/>
        <v>4200</v>
      </c>
    </row>
    <row r="430" spans="1:6" ht="21" customHeight="1" x14ac:dyDescent="0.25">
      <c r="A430" s="39" t="s">
        <v>77</v>
      </c>
      <c r="B430" s="40" t="str">
        <f ca="1">IFERROR(INDEX(UNSPSCDes,MATCH(INDIRECT(ADDRESS(ROW(),COLUMN()-1,4)),UNSPSCCode,0)),IF(INDIRECT(ADDRESS(ROW(),COLUMN()-1,4))="50171832","Salsas para ensaladas o dips",""))</f>
        <v>Salsas para ensaladas o dips</v>
      </c>
      <c r="C430" s="41" t="str">
        <f>IFERROR(VLOOKUP("GAL",'[1]Informacion '!P:Q,2,FALSE),"")</f>
        <v>Galón</v>
      </c>
      <c r="D430" s="39">
        <v>1</v>
      </c>
      <c r="E430" s="42">
        <v>1000</v>
      </c>
      <c r="F430" s="43">
        <f t="shared" ca="1" si="13"/>
        <v>1000</v>
      </c>
    </row>
    <row r="431" spans="1:6" x14ac:dyDescent="0.25">
      <c r="A431" s="39" t="s">
        <v>67</v>
      </c>
      <c r="B431" s="40" t="str">
        <f ca="1">IFERROR(INDEX(UNSPSCDes,MATCH(INDIRECT(ADDRESS(ROW(),COLUMN()-1,4)),UNSPSCCode,0)),IF(INDIRECT(ADDRESS(ROW(),COLUMN()-1,4))="50171707","Vinagres",""))</f>
        <v>Vinagres</v>
      </c>
      <c r="C431" s="41" t="str">
        <f>IFERROR(VLOOKUP("GAL",'[1]Informacion '!P:Q,2,FALSE),"")</f>
        <v>Galón</v>
      </c>
      <c r="D431" s="39">
        <v>4</v>
      </c>
      <c r="E431" s="42">
        <v>1650</v>
      </c>
      <c r="F431" s="43">
        <f t="shared" ca="1" si="13"/>
        <v>6600</v>
      </c>
    </row>
    <row r="432" spans="1:6" x14ac:dyDescent="0.25">
      <c r="A432" s="46"/>
      <c r="B432" s="46"/>
      <c r="C432" s="46"/>
      <c r="D432" s="46"/>
      <c r="E432" s="44" t="s">
        <v>46</v>
      </c>
      <c r="F432" s="45">
        <f ca="1">SUM(Table13[MONTO TOTAL ESTIMADO])</f>
        <v>526954.75</v>
      </c>
    </row>
    <row r="433" spans="1:6" ht="15.75" thickBot="1" x14ac:dyDescent="0.3">
      <c r="A433" s="46"/>
      <c r="B433" s="46"/>
      <c r="C433" s="46"/>
      <c r="D433" s="46"/>
      <c r="E433" s="46"/>
      <c r="F433" s="46"/>
    </row>
    <row r="434" spans="1:6" ht="34.5" thickBot="1" x14ac:dyDescent="0.3">
      <c r="A434" s="29" t="s">
        <v>18</v>
      </c>
      <c r="B434" s="29" t="s">
        <v>19</v>
      </c>
      <c r="C434" s="29" t="s">
        <v>20</v>
      </c>
      <c r="D434" s="29" t="s">
        <v>21</v>
      </c>
      <c r="E434" s="29" t="s">
        <v>22</v>
      </c>
      <c r="F434" s="29" t="s">
        <v>23</v>
      </c>
    </row>
    <row r="435" spans="1:6" ht="15.75" thickBot="1" x14ac:dyDescent="0.3">
      <c r="A435" s="30" t="s">
        <v>24</v>
      </c>
      <c r="B435" s="30" t="s">
        <v>82</v>
      </c>
      <c r="C435" s="30" t="s">
        <v>26</v>
      </c>
      <c r="D435" s="30" t="s">
        <v>27</v>
      </c>
      <c r="E435" s="30" t="s">
        <v>28</v>
      </c>
      <c r="F435" s="30" t="s">
        <v>17</v>
      </c>
    </row>
    <row r="436" spans="1:6" ht="15.75" thickBot="1" x14ac:dyDescent="0.3">
      <c r="A436" s="31" t="s">
        <v>29</v>
      </c>
      <c r="B436" s="32" t="s">
        <v>30</v>
      </c>
      <c r="C436" s="33">
        <v>46176</v>
      </c>
      <c r="D436" s="31" t="s">
        <v>31</v>
      </c>
      <c r="E436" s="34" t="s">
        <v>32</v>
      </c>
      <c r="F436" s="35" t="s">
        <v>33</v>
      </c>
    </row>
    <row r="437" spans="1:6" ht="15.75" thickBot="1" x14ac:dyDescent="0.3">
      <c r="A437" s="36"/>
      <c r="B437" s="32" t="s">
        <v>34</v>
      </c>
      <c r="C437" s="37">
        <f>IF(C436="","",IF(AND(MONTH(C436)&gt;=1,MONTH(C436)&lt;=3),1,IF(AND(MONTH(C436)&gt;=4,MONTH(C436)&lt;=6),2,IF(AND(MONTH(C436)&gt;=7,MONTH(C436)&lt;=9),3,4))))</f>
        <v>2</v>
      </c>
      <c r="D437" s="36"/>
      <c r="E437" s="34" t="s">
        <v>35</v>
      </c>
      <c r="F437" s="35"/>
    </row>
    <row r="438" spans="1:6" ht="15.75" thickBot="1" x14ac:dyDescent="0.3">
      <c r="A438" s="36"/>
      <c r="B438" s="32" t="s">
        <v>36</v>
      </c>
      <c r="C438" s="33">
        <v>46179</v>
      </c>
      <c r="D438" s="36"/>
      <c r="E438" s="34" t="s">
        <v>37</v>
      </c>
      <c r="F438" s="35"/>
    </row>
    <row r="439" spans="1:6" ht="15.75" thickBot="1" x14ac:dyDescent="0.3">
      <c r="A439" s="36"/>
      <c r="B439" s="32" t="s">
        <v>34</v>
      </c>
      <c r="C439" s="37">
        <f>IF(C438="","",IF(AND(MONTH(C438)&gt;=1,MONTH(C438)&lt;=3),1,IF(AND(MONTH(C438)&gt;=4,MONTH(C438)&lt;=6),2,IF(AND(MONTH(C438)&gt;=7,MONTH(C438)&lt;=9),3,4))))</f>
        <v>2</v>
      </c>
      <c r="D439" s="36"/>
      <c r="E439" s="34" t="s">
        <v>38</v>
      </c>
      <c r="F439" s="35"/>
    </row>
    <row r="440" spans="1:6" ht="15.75" thickBot="1" x14ac:dyDescent="0.3">
      <c r="A440" s="46"/>
      <c r="B440" s="46"/>
      <c r="C440" s="46"/>
      <c r="D440" s="46"/>
      <c r="E440" s="46"/>
      <c r="F440" s="46"/>
    </row>
    <row r="441" spans="1:6" ht="15.75" thickBot="1" x14ac:dyDescent="0.3">
      <c r="A441" s="38" t="s">
        <v>39</v>
      </c>
      <c r="B441" s="38" t="s">
        <v>40</v>
      </c>
      <c r="C441" s="38" t="s">
        <v>41</v>
      </c>
      <c r="D441" s="38" t="s">
        <v>42</v>
      </c>
      <c r="E441" s="38" t="s">
        <v>43</v>
      </c>
      <c r="F441" s="38" t="s">
        <v>44</v>
      </c>
    </row>
    <row r="442" spans="1:6" x14ac:dyDescent="0.25">
      <c r="A442" s="39" t="s">
        <v>83</v>
      </c>
      <c r="B442" s="40" t="str">
        <f t="shared" ref="B442:B450" ca="1" si="14">IFERROR(INDEX(UNSPSCDes,MATCH(INDIRECT(ADDRESS(ROW(),COLUMN()-1,4)),UNSPSCCode,0)),IF(INDIRECT(ADDRESS(ROW(),COLUMN()-1,4))="50101538","Verduras frescas",""))</f>
        <v>Verduras frescas</v>
      </c>
      <c r="C442" s="41" t="str">
        <f>IFERROR(VLOOKUP("LB",'[1]Informacion '!P:Q,2,FALSE),"")</f>
        <v>Libra </v>
      </c>
      <c r="D442" s="39">
        <v>800</v>
      </c>
      <c r="E442" s="42">
        <v>20</v>
      </c>
      <c r="F442" s="43">
        <f t="shared" ref="F442:F485" ca="1" si="15">INDIRECT(ADDRESS(ROW(),COLUMN()-2,4))*INDIRECT(ADDRESS(ROW(),COLUMN()-1,4))</f>
        <v>16000</v>
      </c>
    </row>
    <row r="443" spans="1:6" x14ac:dyDescent="0.25">
      <c r="A443" s="39" t="s">
        <v>83</v>
      </c>
      <c r="B443" s="40" t="str">
        <f t="shared" ca="1" si="14"/>
        <v>Verduras frescas</v>
      </c>
      <c r="C443" s="41" t="str">
        <f>IFERROR(VLOOKUP("PAQ",'[1]Informacion '!P:Q,2,FALSE),"")</f>
        <v>Paquete</v>
      </c>
      <c r="D443" s="39">
        <v>40</v>
      </c>
      <c r="E443" s="42">
        <v>60</v>
      </c>
      <c r="F443" s="43">
        <f t="shared" ca="1" si="15"/>
        <v>2400</v>
      </c>
    </row>
    <row r="444" spans="1:6" x14ac:dyDescent="0.25">
      <c r="A444" s="39" t="s">
        <v>83</v>
      </c>
      <c r="B444" s="40" t="str">
        <f t="shared" ca="1" si="14"/>
        <v>Verduras frescas</v>
      </c>
      <c r="C444" s="41" t="str">
        <f>IFERROR(VLOOKUP("LB",'[1]Informacion '!P:Q,2,FALSE),"")</f>
        <v>Libra </v>
      </c>
      <c r="D444" s="39">
        <v>750</v>
      </c>
      <c r="E444" s="42">
        <v>28</v>
      </c>
      <c r="F444" s="43">
        <f t="shared" ca="1" si="15"/>
        <v>21000</v>
      </c>
    </row>
    <row r="445" spans="1:6" x14ac:dyDescent="0.25">
      <c r="A445" s="39" t="s">
        <v>83</v>
      </c>
      <c r="B445" s="40" t="str">
        <f t="shared" ca="1" si="14"/>
        <v>Verduras frescas</v>
      </c>
      <c r="C445" s="41" t="str">
        <f>IFERROR(VLOOKUP("LB",'[1]Informacion '!P:Q,2,FALSE),"")</f>
        <v>Libra </v>
      </c>
      <c r="D445" s="39">
        <v>10</v>
      </c>
      <c r="E445" s="42">
        <v>50</v>
      </c>
      <c r="F445" s="43">
        <f t="shared" ca="1" si="15"/>
        <v>500</v>
      </c>
    </row>
    <row r="446" spans="1:6" x14ac:dyDescent="0.25">
      <c r="A446" s="39" t="s">
        <v>83</v>
      </c>
      <c r="B446" s="40" t="str">
        <f t="shared" ca="1" si="14"/>
        <v>Verduras frescas</v>
      </c>
      <c r="C446" s="41" t="str">
        <f>IFERROR(VLOOKUP("LB",'[1]Informacion '!P:Q,2,FALSE),"")</f>
        <v>Libra </v>
      </c>
      <c r="D446" s="39">
        <v>10</v>
      </c>
      <c r="E446" s="42">
        <v>50</v>
      </c>
      <c r="F446" s="43">
        <f t="shared" ca="1" si="15"/>
        <v>500</v>
      </c>
    </row>
    <row r="447" spans="1:6" x14ac:dyDescent="0.25">
      <c r="A447" s="39" t="s">
        <v>83</v>
      </c>
      <c r="B447" s="40" t="str">
        <f t="shared" ca="1" si="14"/>
        <v>Verduras frescas</v>
      </c>
      <c r="C447" s="41" t="str">
        <f>IFERROR(VLOOKUP("LB",'[1]Informacion '!P:Q,2,FALSE),"")</f>
        <v>Libra </v>
      </c>
      <c r="D447" s="39">
        <v>100</v>
      </c>
      <c r="E447" s="42">
        <v>25</v>
      </c>
      <c r="F447" s="43">
        <f t="shared" ca="1" si="15"/>
        <v>2500</v>
      </c>
    </row>
    <row r="448" spans="1:6" x14ac:dyDescent="0.25">
      <c r="A448" s="39" t="s">
        <v>83</v>
      </c>
      <c r="B448" s="40" t="str">
        <f t="shared" ca="1" si="14"/>
        <v>Verduras frescas</v>
      </c>
      <c r="C448" s="41" t="str">
        <f>IFERROR(VLOOKUP("LB",'[1]Informacion '!P:Q,2,FALSE),"")</f>
        <v>Libra </v>
      </c>
      <c r="D448" s="39">
        <v>300</v>
      </c>
      <c r="E448" s="42">
        <v>15</v>
      </c>
      <c r="F448" s="43">
        <f t="shared" ca="1" si="15"/>
        <v>4500</v>
      </c>
    </row>
    <row r="449" spans="1:6" x14ac:dyDescent="0.25">
      <c r="A449" s="39" t="s">
        <v>83</v>
      </c>
      <c r="B449" s="40" t="str">
        <f t="shared" ca="1" si="14"/>
        <v>Verduras frescas</v>
      </c>
      <c r="C449" s="41" t="str">
        <f>IFERROR(VLOOKUP("PAQ",'[1]Informacion '!P:Q,2,FALSE),"")</f>
        <v>Paquete</v>
      </c>
      <c r="D449" s="39">
        <v>40</v>
      </c>
      <c r="E449" s="42">
        <v>70</v>
      </c>
      <c r="F449" s="43">
        <f t="shared" ca="1" si="15"/>
        <v>2800</v>
      </c>
    </row>
    <row r="450" spans="1:6" x14ac:dyDescent="0.25">
      <c r="A450" s="39" t="s">
        <v>83</v>
      </c>
      <c r="B450" s="40" t="str">
        <f t="shared" ca="1" si="14"/>
        <v>Verduras frescas</v>
      </c>
      <c r="C450" s="41" t="str">
        <f>IFERROR(VLOOKUP("LB",'[1]Informacion '!P:Q,2,FALSE),"")</f>
        <v>Libra </v>
      </c>
      <c r="D450" s="39">
        <v>300</v>
      </c>
      <c r="E450" s="42">
        <v>28</v>
      </c>
      <c r="F450" s="43">
        <f t="shared" ca="1" si="15"/>
        <v>8400</v>
      </c>
    </row>
    <row r="451" spans="1:6" ht="22.5" x14ac:dyDescent="0.25">
      <c r="A451" s="39" t="s">
        <v>84</v>
      </c>
      <c r="B451" s="40" t="str">
        <f ca="1">IFERROR(INDEX(UNSPSCDes,MATCH(INDIRECT(ADDRESS(ROW(),COLUMN()-1,4)),UNSPSCCode,0)),IF(INDIRECT(ADDRESS(ROW(),COLUMN()-1,4))="50171552","Mezcla para adobar",""))</f>
        <v>Mezcla para adobar</v>
      </c>
      <c r="C451" s="41" t="str">
        <f>IFERROR(VLOOKUP("LB",'[1]Informacion '!P:Q,2,FALSE),"")</f>
        <v>Libra </v>
      </c>
      <c r="D451" s="39">
        <v>20</v>
      </c>
      <c r="E451" s="42">
        <v>300</v>
      </c>
      <c r="F451" s="43">
        <f t="shared" ca="1" si="15"/>
        <v>6000</v>
      </c>
    </row>
    <row r="452" spans="1:6" x14ac:dyDescent="0.25">
      <c r="A452" s="39" t="s">
        <v>83</v>
      </c>
      <c r="B452" s="40" t="str">
        <f ca="1">IFERROR(INDEX(UNSPSCDes,MATCH(INDIRECT(ADDRESS(ROW(),COLUMN()-1,4)),UNSPSCCode,0)),IF(INDIRECT(ADDRESS(ROW(),COLUMN()-1,4))="50101538","Verduras frescas",""))</f>
        <v>Verduras frescas</v>
      </c>
      <c r="C452" s="41" t="str">
        <f>IFERROR(VLOOKUP("LB",'[1]Informacion '!P:Q,2,FALSE),"")</f>
        <v>Libra </v>
      </c>
      <c r="D452" s="39">
        <v>60</v>
      </c>
      <c r="E452" s="42">
        <v>80</v>
      </c>
      <c r="F452" s="43">
        <f t="shared" ca="1" si="15"/>
        <v>4800</v>
      </c>
    </row>
    <row r="453" spans="1:6" x14ac:dyDescent="0.25">
      <c r="A453" s="39" t="s">
        <v>85</v>
      </c>
      <c r="B453" s="40" t="str">
        <f ca="1">IFERROR(INDEX(UNSPSCDes,MATCH(INDIRECT(ADDRESS(ROW(),COLUMN()-1,4)),UNSPSCCode,0)),IF(INDIRECT(ADDRESS(ROW(),COLUMN()-1,4))="50101634","Fruta fresca",""))</f>
        <v>Fruta fresca</v>
      </c>
      <c r="C453" s="41" t="str">
        <f>IFERROR(VLOOKUP("UD",'[1]Informacion '!P:Q,2,FALSE),"")</f>
        <v>Unidad</v>
      </c>
      <c r="D453" s="39">
        <v>300</v>
      </c>
      <c r="E453" s="42">
        <v>10</v>
      </c>
      <c r="F453" s="43">
        <f t="shared" ca="1" si="15"/>
        <v>3000</v>
      </c>
    </row>
    <row r="454" spans="1:6" x14ac:dyDescent="0.25">
      <c r="A454" s="39" t="s">
        <v>83</v>
      </c>
      <c r="B454" s="40" t="str">
        <f t="shared" ref="B454:B462" ca="1" si="16">IFERROR(INDEX(UNSPSCDes,MATCH(INDIRECT(ADDRESS(ROW(),COLUMN()-1,4)),UNSPSCCode,0)),IF(INDIRECT(ADDRESS(ROW(),COLUMN()-1,4))="50101538","Verduras frescas",""))</f>
        <v>Verduras frescas</v>
      </c>
      <c r="C454" s="41" t="str">
        <f>IFERROR(VLOOKUP("LB",'[1]Informacion '!P:Q,2,FALSE),"")</f>
        <v>Libra </v>
      </c>
      <c r="D454" s="39">
        <v>300</v>
      </c>
      <c r="E454" s="42">
        <v>30</v>
      </c>
      <c r="F454" s="43">
        <f t="shared" ca="1" si="15"/>
        <v>9000</v>
      </c>
    </row>
    <row r="455" spans="1:6" x14ac:dyDescent="0.25">
      <c r="A455" s="39" t="s">
        <v>83</v>
      </c>
      <c r="B455" s="40" t="str">
        <f t="shared" ca="1" si="16"/>
        <v>Verduras frescas</v>
      </c>
      <c r="C455" s="41" t="str">
        <f>IFERROR(VLOOKUP("LB",'[1]Informacion '!P:Q,2,FALSE),"")</f>
        <v>Libra </v>
      </c>
      <c r="D455" s="39">
        <v>50</v>
      </c>
      <c r="E455" s="42">
        <v>30</v>
      </c>
      <c r="F455" s="43">
        <f t="shared" ca="1" si="15"/>
        <v>1500</v>
      </c>
    </row>
    <row r="456" spans="1:6" x14ac:dyDescent="0.25">
      <c r="A456" s="39" t="s">
        <v>83</v>
      </c>
      <c r="B456" s="40" t="str">
        <f t="shared" ca="1" si="16"/>
        <v>Verduras frescas</v>
      </c>
      <c r="C456" s="41" t="str">
        <f>IFERROR(VLOOKUP("LB",'[1]Informacion '!P:Q,2,FALSE),"")</f>
        <v>Libra </v>
      </c>
      <c r="D456" s="39">
        <v>250</v>
      </c>
      <c r="E456" s="42">
        <v>25</v>
      </c>
      <c r="F456" s="43">
        <f t="shared" ca="1" si="15"/>
        <v>6250</v>
      </c>
    </row>
    <row r="457" spans="1:6" x14ac:dyDescent="0.25">
      <c r="A457" s="39" t="s">
        <v>83</v>
      </c>
      <c r="B457" s="40" t="str">
        <f t="shared" ca="1" si="16"/>
        <v>Verduras frescas</v>
      </c>
      <c r="C457" s="41" t="str">
        <f>IFERROR(VLOOKUP("LB",'[1]Informacion '!P:Q,2,FALSE),"")</f>
        <v>Libra </v>
      </c>
      <c r="D457" s="39">
        <v>750</v>
      </c>
      <c r="E457" s="42">
        <v>15</v>
      </c>
      <c r="F457" s="43">
        <f t="shared" ca="1" si="15"/>
        <v>11250</v>
      </c>
    </row>
    <row r="458" spans="1:6" x14ac:dyDescent="0.25">
      <c r="A458" s="39" t="s">
        <v>83</v>
      </c>
      <c r="B458" s="40" t="str">
        <f t="shared" ca="1" si="16"/>
        <v>Verduras frescas</v>
      </c>
      <c r="C458" s="41" t="str">
        <f>IFERROR(VLOOKUP("LB",'[1]Informacion '!P:Q,2,FALSE),"")</f>
        <v>Libra </v>
      </c>
      <c r="D458" s="39">
        <v>40</v>
      </c>
      <c r="E458" s="42">
        <v>40</v>
      </c>
      <c r="F458" s="43">
        <f t="shared" ca="1" si="15"/>
        <v>1600</v>
      </c>
    </row>
    <row r="459" spans="1:6" x14ac:dyDescent="0.25">
      <c r="A459" s="39" t="s">
        <v>83</v>
      </c>
      <c r="B459" s="40" t="str">
        <f t="shared" ca="1" si="16"/>
        <v>Verduras frescas</v>
      </c>
      <c r="C459" s="41" t="str">
        <f>IFERROR(VLOOKUP("LB",'[1]Informacion '!P:Q,2,FALSE),"")</f>
        <v>Libra </v>
      </c>
      <c r="D459" s="39">
        <v>300</v>
      </c>
      <c r="E459" s="42">
        <v>35</v>
      </c>
      <c r="F459" s="43">
        <f t="shared" ca="1" si="15"/>
        <v>10500</v>
      </c>
    </row>
    <row r="460" spans="1:6" x14ac:dyDescent="0.25">
      <c r="A460" s="39" t="s">
        <v>83</v>
      </c>
      <c r="B460" s="40" t="str">
        <f t="shared" ca="1" si="16"/>
        <v>Verduras frescas</v>
      </c>
      <c r="C460" s="41" t="str">
        <f>IFERROR(VLOOKUP("LB",'[1]Informacion '!P:Q,2,FALSE),"")</f>
        <v>Libra </v>
      </c>
      <c r="D460" s="39">
        <v>300</v>
      </c>
      <c r="E460" s="42">
        <v>18</v>
      </c>
      <c r="F460" s="43">
        <f t="shared" ca="1" si="15"/>
        <v>5400</v>
      </c>
    </row>
    <row r="461" spans="1:6" x14ac:dyDescent="0.25">
      <c r="A461" s="39" t="s">
        <v>83</v>
      </c>
      <c r="B461" s="40" t="str">
        <f t="shared" ca="1" si="16"/>
        <v>Verduras frescas</v>
      </c>
      <c r="C461" s="41" t="str">
        <f>IFERROR(VLOOKUP("LB",'[1]Informacion '!P:Q,2,FALSE),"")</f>
        <v>Libra </v>
      </c>
      <c r="D461" s="39">
        <v>125</v>
      </c>
      <c r="E461" s="42">
        <v>85</v>
      </c>
      <c r="F461" s="43">
        <f t="shared" ca="1" si="15"/>
        <v>10625</v>
      </c>
    </row>
    <row r="462" spans="1:6" x14ac:dyDescent="0.25">
      <c r="A462" s="39" t="s">
        <v>83</v>
      </c>
      <c r="B462" s="40" t="str">
        <f t="shared" ca="1" si="16"/>
        <v>Verduras frescas</v>
      </c>
      <c r="C462" s="41" t="str">
        <f>IFERROR(VLOOKUP("LB",'[1]Informacion '!P:Q,2,FALSE),"")</f>
        <v>Libra </v>
      </c>
      <c r="D462" s="39">
        <v>500</v>
      </c>
      <c r="E462" s="42">
        <v>45</v>
      </c>
      <c r="F462" s="43">
        <f t="shared" ca="1" si="15"/>
        <v>22500</v>
      </c>
    </row>
    <row r="463" spans="1:6" x14ac:dyDescent="0.25">
      <c r="A463" s="39" t="s">
        <v>86</v>
      </c>
      <c r="B463" s="40" t="str">
        <f ca="1">IFERROR(INDEX(UNSPSCDes,MATCH(INDIRECT(ADDRESS(ROW(),COLUMN()-1,4)),UNSPSCCode,0)),IF(INDIRECT(ADDRESS(ROW(),COLUMN()-1,4))="50131606","Huevos frescos",""))</f>
        <v>Huevos frescos</v>
      </c>
      <c r="C463" s="41" t="str">
        <f>IFERROR(VLOOKUP("UD",'[1]Informacion '!P:Q,2,FALSE),"")</f>
        <v>Unidad</v>
      </c>
      <c r="D463" s="39">
        <v>6000</v>
      </c>
      <c r="E463" s="42">
        <v>6.5</v>
      </c>
      <c r="F463" s="43">
        <f t="shared" ca="1" si="15"/>
        <v>39000</v>
      </c>
    </row>
    <row r="464" spans="1:6" x14ac:dyDescent="0.25">
      <c r="A464" s="39" t="s">
        <v>85</v>
      </c>
      <c r="B464" s="40" t="str">
        <f ca="1">IFERROR(INDEX(UNSPSCDes,MATCH(INDIRECT(ADDRESS(ROW(),COLUMN()-1,4)),UNSPSCCode,0)),IF(INDIRECT(ADDRESS(ROW(),COLUMN()-1,4))="50101634","Fruta fresca",""))</f>
        <v>Fruta fresca</v>
      </c>
      <c r="C464" s="41" t="str">
        <f>IFERROR(VLOOKUP("UD",'[1]Informacion '!P:Q,2,FALSE),"")</f>
        <v>Unidad</v>
      </c>
      <c r="D464" s="39">
        <v>40</v>
      </c>
      <c r="E464" s="42">
        <v>200</v>
      </c>
      <c r="F464" s="43">
        <f t="shared" ca="1" si="15"/>
        <v>8000</v>
      </c>
    </row>
    <row r="465" spans="1:6" x14ac:dyDescent="0.25">
      <c r="A465" s="39" t="s">
        <v>83</v>
      </c>
      <c r="B465" s="40" t="str">
        <f ca="1">IFERROR(INDEX(UNSPSCDes,MATCH(INDIRECT(ADDRESS(ROW(),COLUMN()-1,4)),UNSPSCCode,0)),IF(INDIRECT(ADDRESS(ROW(),COLUMN()-1,4))="50101538","Verduras frescas",""))</f>
        <v>Verduras frescas</v>
      </c>
      <c r="C465" s="41" t="str">
        <f>IFERROR(VLOOKUP("LB",'[1]Informacion '!P:Q,2,FALSE),"")</f>
        <v>Libra </v>
      </c>
      <c r="D465" s="39">
        <v>80</v>
      </c>
      <c r="E465" s="42">
        <v>45</v>
      </c>
      <c r="F465" s="43">
        <f t="shared" ca="1" si="15"/>
        <v>3600</v>
      </c>
    </row>
    <row r="466" spans="1:6" x14ac:dyDescent="0.25">
      <c r="A466" s="39" t="s">
        <v>85</v>
      </c>
      <c r="B466" s="40" t="str">
        <f ca="1">IFERROR(INDEX(UNSPSCDes,MATCH(INDIRECT(ADDRESS(ROW(),COLUMN()-1,4)),UNSPSCCode,0)),IF(INDIRECT(ADDRESS(ROW(),COLUMN()-1,4))="50101634","Fruta fresca",""))</f>
        <v>Fruta fresca</v>
      </c>
      <c r="C466" s="41" t="str">
        <f>IFERROR(VLOOKUP("LB",'[1]Informacion '!P:Q,2,FALSE),"")</f>
        <v>Libra </v>
      </c>
      <c r="D466" s="39">
        <v>40</v>
      </c>
      <c r="E466" s="42">
        <v>65</v>
      </c>
      <c r="F466" s="43">
        <f t="shared" ca="1" si="15"/>
        <v>2600</v>
      </c>
    </row>
    <row r="467" spans="1:6" x14ac:dyDescent="0.25">
      <c r="A467" s="39" t="s">
        <v>85</v>
      </c>
      <c r="B467" s="40" t="str">
        <f ca="1">IFERROR(INDEX(UNSPSCDes,MATCH(INDIRECT(ADDRESS(ROW(),COLUMN()-1,4)),UNSPSCCode,0)),IF(INDIRECT(ADDRESS(ROW(),COLUMN()-1,4))="50101634","Fruta fresca",""))</f>
        <v>Fruta fresca</v>
      </c>
      <c r="C467" s="41" t="str">
        <f>IFERROR(VLOOKUP("UD",'[1]Informacion '!P:Q,2,FALSE),"")</f>
        <v>Unidad</v>
      </c>
      <c r="D467" s="39">
        <v>500</v>
      </c>
      <c r="E467" s="42">
        <v>12</v>
      </c>
      <c r="F467" s="43">
        <f t="shared" ca="1" si="15"/>
        <v>6000</v>
      </c>
    </row>
    <row r="468" spans="1:6" x14ac:dyDescent="0.25">
      <c r="A468" s="39" t="s">
        <v>85</v>
      </c>
      <c r="B468" s="40" t="str">
        <f ca="1">IFERROR(INDEX(UNSPSCDes,MATCH(INDIRECT(ADDRESS(ROW(),COLUMN()-1,4)),UNSPSCCode,0)),IF(INDIRECT(ADDRESS(ROW(),COLUMN()-1,4))="50101634","Fruta fresca",""))</f>
        <v>Fruta fresca</v>
      </c>
      <c r="C468" s="41" t="str">
        <f>IFERROR(VLOOKUP("UD",'[1]Informacion '!P:Q,2,FALSE),"")</f>
        <v>Unidad</v>
      </c>
      <c r="D468" s="39">
        <v>40</v>
      </c>
      <c r="E468" s="42">
        <v>60</v>
      </c>
      <c r="F468" s="43">
        <f t="shared" ca="1" si="15"/>
        <v>2400</v>
      </c>
    </row>
    <row r="469" spans="1:6" x14ac:dyDescent="0.25">
      <c r="A469" s="39" t="s">
        <v>85</v>
      </c>
      <c r="B469" s="40" t="str">
        <f ca="1">IFERROR(INDEX(UNSPSCDes,MATCH(INDIRECT(ADDRESS(ROW(),COLUMN()-1,4)),UNSPSCCode,0)),IF(INDIRECT(ADDRESS(ROW(),COLUMN()-1,4))="50101634","Fruta fresca",""))</f>
        <v>Fruta fresca</v>
      </c>
      <c r="C469" s="41" t="str">
        <f>IFERROR(VLOOKUP("UD",'[1]Informacion '!P:Q,2,FALSE),"")</f>
        <v>Unidad</v>
      </c>
      <c r="D469" s="39">
        <v>40</v>
      </c>
      <c r="E469" s="42">
        <v>60</v>
      </c>
      <c r="F469" s="43">
        <f t="shared" ca="1" si="15"/>
        <v>2400</v>
      </c>
    </row>
    <row r="470" spans="1:6" x14ac:dyDescent="0.25">
      <c r="A470" s="39" t="s">
        <v>85</v>
      </c>
      <c r="B470" s="40" t="str">
        <f ca="1">IFERROR(INDEX(UNSPSCDes,MATCH(INDIRECT(ADDRESS(ROW(),COLUMN()-1,4)),UNSPSCCode,0)),IF(INDIRECT(ADDRESS(ROW(),COLUMN()-1,4))="50101634","Fruta fresca",""))</f>
        <v>Fruta fresca</v>
      </c>
      <c r="C470" s="41" t="str">
        <f>IFERROR(VLOOKUP("UD",'[1]Informacion '!P:Q,2,FALSE),"")</f>
        <v>Unidad</v>
      </c>
      <c r="D470" s="39">
        <v>2000</v>
      </c>
      <c r="E470" s="42">
        <v>7</v>
      </c>
      <c r="F470" s="43">
        <f t="shared" ca="1" si="15"/>
        <v>14000</v>
      </c>
    </row>
    <row r="471" spans="1:6" x14ac:dyDescent="0.25">
      <c r="A471" s="39" t="s">
        <v>83</v>
      </c>
      <c r="B471" s="40" t="str">
        <f t="shared" ref="B471:B481" ca="1" si="17">IFERROR(INDEX(UNSPSCDes,MATCH(INDIRECT(ADDRESS(ROW(),COLUMN()-1,4)),UNSPSCCode,0)),IF(INDIRECT(ADDRESS(ROW(),COLUMN()-1,4))="50101538","Verduras frescas",""))</f>
        <v>Verduras frescas</v>
      </c>
      <c r="C471" s="41" t="str">
        <f>IFERROR(VLOOKUP("UD",'[1]Informacion '!P:Q,2,FALSE),"")</f>
        <v>Unidad</v>
      </c>
      <c r="D471" s="39">
        <v>500</v>
      </c>
      <c r="E471" s="42">
        <v>16</v>
      </c>
      <c r="F471" s="43">
        <f t="shared" ca="1" si="15"/>
        <v>8000</v>
      </c>
    </row>
    <row r="472" spans="1:6" x14ac:dyDescent="0.25">
      <c r="A472" s="39" t="s">
        <v>83</v>
      </c>
      <c r="B472" s="40" t="str">
        <f t="shared" ca="1" si="17"/>
        <v>Verduras frescas</v>
      </c>
      <c r="C472" s="41" t="str">
        <f>IFERROR(VLOOKUP("UD",'[1]Informacion '!P:Q,2,FALSE),"")</f>
        <v>Unidad</v>
      </c>
      <c r="D472" s="39">
        <v>15000</v>
      </c>
      <c r="E472" s="42">
        <v>7</v>
      </c>
      <c r="F472" s="43">
        <f t="shared" ca="1" si="15"/>
        <v>105000</v>
      </c>
    </row>
    <row r="473" spans="1:6" x14ac:dyDescent="0.25">
      <c r="A473" s="39" t="s">
        <v>83</v>
      </c>
      <c r="B473" s="40" t="str">
        <f t="shared" ca="1" si="17"/>
        <v>Verduras frescas</v>
      </c>
      <c r="C473" s="41" t="str">
        <f>IFERROR(VLOOKUP("UD",'[1]Informacion '!P:Q,2,FALSE),"")</f>
        <v>Unidad</v>
      </c>
      <c r="D473" s="39">
        <v>2000</v>
      </c>
      <c r="E473" s="42">
        <v>16</v>
      </c>
      <c r="F473" s="43">
        <f t="shared" ca="1" si="15"/>
        <v>32000</v>
      </c>
    </row>
    <row r="474" spans="1:6" x14ac:dyDescent="0.25">
      <c r="A474" s="39" t="s">
        <v>83</v>
      </c>
      <c r="B474" s="40" t="str">
        <f t="shared" ca="1" si="17"/>
        <v>Verduras frescas</v>
      </c>
      <c r="C474" s="41" t="str">
        <f>IFERROR(VLOOKUP("LB",'[1]Informacion '!P:Q,2,FALSE),"")</f>
        <v>Libra </v>
      </c>
      <c r="D474" s="39">
        <v>1200</v>
      </c>
      <c r="E474" s="42">
        <v>55</v>
      </c>
      <c r="F474" s="43">
        <f t="shared" ca="1" si="15"/>
        <v>66000</v>
      </c>
    </row>
    <row r="475" spans="1:6" x14ac:dyDescent="0.25">
      <c r="A475" s="39" t="s">
        <v>83</v>
      </c>
      <c r="B475" s="40" t="str">
        <f t="shared" ca="1" si="17"/>
        <v>Verduras frescas</v>
      </c>
      <c r="C475" s="41" t="str">
        <f>IFERROR(VLOOKUP("LB",'[1]Informacion '!P:Q,2,FALSE),"")</f>
        <v>Libra </v>
      </c>
      <c r="D475" s="39">
        <v>1200</v>
      </c>
      <c r="E475" s="42">
        <v>50</v>
      </c>
      <c r="F475" s="43">
        <f t="shared" ca="1" si="15"/>
        <v>60000</v>
      </c>
    </row>
    <row r="476" spans="1:6" x14ac:dyDescent="0.25">
      <c r="A476" s="39" t="s">
        <v>83</v>
      </c>
      <c r="B476" s="40" t="str">
        <f t="shared" ca="1" si="17"/>
        <v>Verduras frescas</v>
      </c>
      <c r="C476" s="41" t="str">
        <f>IFERROR(VLOOKUP("LB",'[1]Informacion '!P:Q,2,FALSE),"")</f>
        <v>Libra </v>
      </c>
      <c r="D476" s="39">
        <v>300</v>
      </c>
      <c r="E476" s="42">
        <v>25</v>
      </c>
      <c r="F476" s="43">
        <f t="shared" ca="1" si="15"/>
        <v>7500</v>
      </c>
    </row>
    <row r="477" spans="1:6" x14ac:dyDescent="0.25">
      <c r="A477" s="39" t="s">
        <v>83</v>
      </c>
      <c r="B477" s="40" t="str">
        <f t="shared" ca="1" si="17"/>
        <v>Verduras frescas</v>
      </c>
      <c r="C477" s="41" t="str">
        <f>IFERROR(VLOOKUP("LB",'[1]Informacion '!P:Q,2,FALSE),"")</f>
        <v>Libra </v>
      </c>
      <c r="D477" s="39">
        <v>300</v>
      </c>
      <c r="E477" s="42">
        <v>25</v>
      </c>
      <c r="F477" s="43">
        <f t="shared" ca="1" si="15"/>
        <v>7500</v>
      </c>
    </row>
    <row r="478" spans="1:6" x14ac:dyDescent="0.25">
      <c r="A478" s="39" t="s">
        <v>83</v>
      </c>
      <c r="B478" s="40" t="str">
        <f t="shared" ca="1" si="17"/>
        <v>Verduras frescas</v>
      </c>
      <c r="C478" s="41" t="str">
        <f>IFERROR(VLOOKUP("LB",'[1]Informacion '!P:Q,2,FALSE),"")</f>
        <v>Libra </v>
      </c>
      <c r="D478" s="39">
        <v>150</v>
      </c>
      <c r="E478" s="42">
        <v>25</v>
      </c>
      <c r="F478" s="43">
        <f t="shared" ca="1" si="15"/>
        <v>3750</v>
      </c>
    </row>
    <row r="479" spans="1:6" x14ac:dyDescent="0.25">
      <c r="A479" s="39" t="s">
        <v>83</v>
      </c>
      <c r="B479" s="40" t="str">
        <f t="shared" ca="1" si="17"/>
        <v>Verduras frescas</v>
      </c>
      <c r="C479" s="41" t="str">
        <f>IFERROR(VLOOKUP("LB",'[1]Informacion '!P:Q,2,FALSE),"")</f>
        <v>Libra </v>
      </c>
      <c r="D479" s="39">
        <v>40</v>
      </c>
      <c r="E479" s="42">
        <v>50</v>
      </c>
      <c r="F479" s="43">
        <f t="shared" ca="1" si="15"/>
        <v>2000</v>
      </c>
    </row>
    <row r="480" spans="1:6" x14ac:dyDescent="0.25">
      <c r="A480" s="39" t="s">
        <v>83</v>
      </c>
      <c r="B480" s="40" t="str">
        <f t="shared" ca="1" si="17"/>
        <v>Verduras frescas</v>
      </c>
      <c r="C480" s="41" t="str">
        <f>IFERROR(VLOOKUP("LB",'[1]Informacion '!P:Q,2,FALSE),"")</f>
        <v>Libra </v>
      </c>
      <c r="D480" s="39">
        <v>800</v>
      </c>
      <c r="E480" s="42">
        <v>50</v>
      </c>
      <c r="F480" s="43">
        <f t="shared" ca="1" si="15"/>
        <v>40000</v>
      </c>
    </row>
    <row r="481" spans="1:6" x14ac:dyDescent="0.25">
      <c r="A481" s="39" t="s">
        <v>83</v>
      </c>
      <c r="B481" s="40" t="str">
        <f t="shared" ca="1" si="17"/>
        <v>Verduras frescas</v>
      </c>
      <c r="C481" s="41" t="str">
        <f>IFERROR(VLOOKUP("LB",'[1]Informacion '!P:Q,2,FALSE),"")</f>
        <v>Libra </v>
      </c>
      <c r="D481" s="39">
        <v>150</v>
      </c>
      <c r="E481" s="42">
        <v>55</v>
      </c>
      <c r="F481" s="43">
        <f t="shared" ca="1" si="15"/>
        <v>8250</v>
      </c>
    </row>
    <row r="482" spans="1:6" ht="22.5" x14ac:dyDescent="0.25">
      <c r="A482" s="39" t="s">
        <v>87</v>
      </c>
      <c r="B482" s="40" t="str">
        <f ca="1">IFERROR(INDEX(UNSPSCDes,MATCH(INDIRECT(ADDRESS(ROW(),COLUMN()-1,4)),UNSPSCCode,0)),IF(INDIRECT(ADDRESS(ROW(),COLUMN()-1,4))="50171550","Especies o extractos",""))</f>
        <v>Especies o extractos</v>
      </c>
      <c r="C482" s="41" t="str">
        <f>IFERROR(VLOOKUP("LB",'[1]Informacion '!P:Q,2,FALSE),"")</f>
        <v>Libra </v>
      </c>
      <c r="D482" s="39">
        <v>20</v>
      </c>
      <c r="E482" s="42">
        <v>250</v>
      </c>
      <c r="F482" s="43">
        <f t="shared" ca="1" si="15"/>
        <v>5000</v>
      </c>
    </row>
    <row r="483" spans="1:6" ht="22.5" x14ac:dyDescent="0.25">
      <c r="A483" s="39" t="s">
        <v>87</v>
      </c>
      <c r="B483" s="40" t="str">
        <f ca="1">IFERROR(INDEX(UNSPSCDes,MATCH(INDIRECT(ADDRESS(ROW(),COLUMN()-1,4)),UNSPSCCode,0)),IF(INDIRECT(ADDRESS(ROW(),COLUMN()-1,4))="50171550","Especies o extractos",""))</f>
        <v>Especies o extractos</v>
      </c>
      <c r="C483" s="41" t="str">
        <f>IFERROR(VLOOKUP("LB",'[1]Informacion '!P:Q,2,FALSE),"")</f>
        <v>Libra </v>
      </c>
      <c r="D483" s="39">
        <v>10</v>
      </c>
      <c r="E483" s="42">
        <v>250</v>
      </c>
      <c r="F483" s="43">
        <f t="shared" ca="1" si="15"/>
        <v>2500</v>
      </c>
    </row>
    <row r="484" spans="1:6" x14ac:dyDescent="0.25">
      <c r="A484" s="39" t="s">
        <v>83</v>
      </c>
      <c r="B484" s="40" t="str">
        <f ca="1">IFERROR(INDEX(UNSPSCDes,MATCH(INDIRECT(ADDRESS(ROW(),COLUMN()-1,4)),UNSPSCCode,0)),IF(INDIRECT(ADDRESS(ROW(),COLUMN()-1,4))="50101538","Verduras frescas",""))</f>
        <v>Verduras frescas</v>
      </c>
      <c r="C484" s="41" t="str">
        <f>IFERROR(VLOOKUP("LB",'[1]Informacion '!P:Q,2,FALSE),"")</f>
        <v>Libra </v>
      </c>
      <c r="D484" s="39">
        <v>10</v>
      </c>
      <c r="E484" s="42">
        <v>200</v>
      </c>
      <c r="F484" s="43">
        <f t="shared" ca="1" si="15"/>
        <v>2000</v>
      </c>
    </row>
    <row r="485" spans="1:6" x14ac:dyDescent="0.25">
      <c r="A485" s="39" t="s">
        <v>83</v>
      </c>
      <c r="B485" s="40" t="str">
        <f ca="1">IFERROR(INDEX(UNSPSCDes,MATCH(INDIRECT(ADDRESS(ROW(),COLUMN()-1,4)),UNSPSCCode,0)),IF(INDIRECT(ADDRESS(ROW(),COLUMN()-1,4))="50101538","Verduras frescas",""))</f>
        <v>Verduras frescas</v>
      </c>
      <c r="C485" s="41" t="str">
        <f>IFERROR(VLOOKUP("LB",'[1]Informacion '!P:Q,2,FALSE),"")</f>
        <v>Libra </v>
      </c>
      <c r="D485" s="39">
        <v>20</v>
      </c>
      <c r="E485" s="42">
        <v>45</v>
      </c>
      <c r="F485" s="43">
        <f t="shared" ca="1" si="15"/>
        <v>900</v>
      </c>
    </row>
    <row r="486" spans="1:6" x14ac:dyDescent="0.25">
      <c r="A486" s="46"/>
      <c r="B486" s="46"/>
      <c r="C486" s="46"/>
      <c r="D486" s="46"/>
      <c r="E486" s="44" t="s">
        <v>46</v>
      </c>
      <c r="F486" s="45">
        <f ca="1">SUM(Table14[MONTO TOTAL ESTIMADO])</f>
        <v>579425</v>
      </c>
    </row>
    <row r="487" spans="1:6" ht="15.75" thickBot="1" x14ac:dyDescent="0.3">
      <c r="A487" s="46"/>
      <c r="B487" s="46"/>
      <c r="C487" s="46"/>
      <c r="D487" s="46"/>
      <c r="E487" s="46"/>
      <c r="F487" s="46"/>
    </row>
    <row r="488" spans="1:6" ht="34.5" thickBot="1" x14ac:dyDescent="0.3">
      <c r="A488" s="29" t="s">
        <v>18</v>
      </c>
      <c r="B488" s="29" t="s">
        <v>19</v>
      </c>
      <c r="C488" s="29" t="s">
        <v>20</v>
      </c>
      <c r="D488" s="29" t="s">
        <v>21</v>
      </c>
      <c r="E488" s="29" t="s">
        <v>22</v>
      </c>
      <c r="F488" s="29" t="s">
        <v>23</v>
      </c>
    </row>
    <row r="489" spans="1:6" ht="15.75" thickBot="1" x14ac:dyDescent="0.3">
      <c r="A489" s="30" t="s">
        <v>24</v>
      </c>
      <c r="B489" s="30" t="s">
        <v>82</v>
      </c>
      <c r="C489" s="30" t="s">
        <v>26</v>
      </c>
      <c r="D489" s="30" t="s">
        <v>27</v>
      </c>
      <c r="E489" s="30" t="s">
        <v>28</v>
      </c>
      <c r="F489" s="30" t="s">
        <v>17</v>
      </c>
    </row>
    <row r="490" spans="1:6" ht="15.75" thickBot="1" x14ac:dyDescent="0.3">
      <c r="A490" s="31" t="s">
        <v>29</v>
      </c>
      <c r="B490" s="32" t="s">
        <v>30</v>
      </c>
      <c r="C490" s="33">
        <v>46204</v>
      </c>
      <c r="D490" s="31" t="s">
        <v>31</v>
      </c>
      <c r="E490" s="34" t="s">
        <v>32</v>
      </c>
      <c r="F490" s="35" t="s">
        <v>33</v>
      </c>
    </row>
    <row r="491" spans="1:6" ht="15.75" thickBot="1" x14ac:dyDescent="0.3">
      <c r="A491" s="36"/>
      <c r="B491" s="32" t="s">
        <v>34</v>
      </c>
      <c r="C491" s="37">
        <f>IF(C490="","",IF(AND(MONTH(C490)&gt;=1,MONTH(C490)&lt;=3),1,IF(AND(MONTH(C490)&gt;=4,MONTH(C490)&lt;=6),2,IF(AND(MONTH(C490)&gt;=7,MONTH(C490)&lt;=9),3,4))))</f>
        <v>3</v>
      </c>
      <c r="D491" s="36"/>
      <c r="E491" s="34" t="s">
        <v>35</v>
      </c>
      <c r="F491" s="35"/>
    </row>
    <row r="492" spans="1:6" ht="15.75" thickBot="1" x14ac:dyDescent="0.3">
      <c r="A492" s="36"/>
      <c r="B492" s="32" t="s">
        <v>36</v>
      </c>
      <c r="C492" s="33">
        <v>46207</v>
      </c>
      <c r="D492" s="36"/>
      <c r="E492" s="34" t="s">
        <v>37</v>
      </c>
      <c r="F492" s="35"/>
    </row>
    <row r="493" spans="1:6" ht="15.75" thickBot="1" x14ac:dyDescent="0.3">
      <c r="A493" s="36"/>
      <c r="B493" s="32" t="s">
        <v>34</v>
      </c>
      <c r="C493" s="37">
        <f>IF(C492="","",IF(AND(MONTH(C492)&gt;=1,MONTH(C492)&lt;=3),1,IF(AND(MONTH(C492)&gt;=4,MONTH(C492)&lt;=6),2,IF(AND(MONTH(C492)&gt;=7,MONTH(C492)&lt;=9),3,4))))</f>
        <v>3</v>
      </c>
      <c r="D493" s="36"/>
      <c r="E493" s="34" t="s">
        <v>38</v>
      </c>
      <c r="F493" s="35"/>
    </row>
    <row r="494" spans="1:6" ht="15.75" thickBot="1" x14ac:dyDescent="0.3">
      <c r="A494" s="46"/>
      <c r="B494" s="46"/>
      <c r="C494" s="46"/>
      <c r="D494" s="46"/>
      <c r="E494" s="46"/>
      <c r="F494" s="46"/>
    </row>
    <row r="495" spans="1:6" ht="15.75" thickBot="1" x14ac:dyDescent="0.3">
      <c r="A495" s="38" t="s">
        <v>39</v>
      </c>
      <c r="B495" s="38" t="s">
        <v>40</v>
      </c>
      <c r="C495" s="38" t="s">
        <v>41</v>
      </c>
      <c r="D495" s="38" t="s">
        <v>42</v>
      </c>
      <c r="E495" s="38" t="s">
        <v>43</v>
      </c>
      <c r="F495" s="38" t="s">
        <v>44</v>
      </c>
    </row>
    <row r="496" spans="1:6" x14ac:dyDescent="0.25">
      <c r="A496" s="39" t="s">
        <v>83</v>
      </c>
      <c r="B496" s="40" t="str">
        <f t="shared" ref="B496:B504" ca="1" si="18">IFERROR(INDEX(UNSPSCDes,MATCH(INDIRECT(ADDRESS(ROW(),COLUMN()-1,4)),UNSPSCCode,0)),IF(INDIRECT(ADDRESS(ROW(),COLUMN()-1,4))="50101538","Verduras frescas",""))</f>
        <v>Verduras frescas</v>
      </c>
      <c r="C496" s="41" t="str">
        <f>IFERROR(VLOOKUP("LB",'[1]Informacion '!P:Q,2,FALSE),"")</f>
        <v>Libra </v>
      </c>
      <c r="D496" s="39">
        <v>800</v>
      </c>
      <c r="E496" s="42">
        <v>20</v>
      </c>
      <c r="F496" s="43">
        <f t="shared" ref="F496:F539" ca="1" si="19">INDIRECT(ADDRESS(ROW(),COLUMN()-2,4))*INDIRECT(ADDRESS(ROW(),COLUMN()-1,4))</f>
        <v>16000</v>
      </c>
    </row>
    <row r="497" spans="1:6" x14ac:dyDescent="0.25">
      <c r="A497" s="39" t="s">
        <v>83</v>
      </c>
      <c r="B497" s="40" t="str">
        <f t="shared" ca="1" si="18"/>
        <v>Verduras frescas</v>
      </c>
      <c r="C497" s="41" t="str">
        <f>IFERROR(VLOOKUP("PAQ",'[1]Informacion '!P:Q,2,FALSE),"")</f>
        <v>Paquete</v>
      </c>
      <c r="D497" s="39">
        <v>40</v>
      </c>
      <c r="E497" s="42">
        <v>60</v>
      </c>
      <c r="F497" s="43">
        <f t="shared" ca="1" si="19"/>
        <v>2400</v>
      </c>
    </row>
    <row r="498" spans="1:6" x14ac:dyDescent="0.25">
      <c r="A498" s="39" t="s">
        <v>83</v>
      </c>
      <c r="B498" s="40" t="str">
        <f t="shared" ca="1" si="18"/>
        <v>Verduras frescas</v>
      </c>
      <c r="C498" s="41" t="str">
        <f>IFERROR(VLOOKUP("LB",'[1]Informacion '!P:Q,2,FALSE),"")</f>
        <v>Libra </v>
      </c>
      <c r="D498" s="39">
        <v>750</v>
      </c>
      <c r="E498" s="42">
        <v>28</v>
      </c>
      <c r="F498" s="43">
        <f t="shared" ca="1" si="19"/>
        <v>21000</v>
      </c>
    </row>
    <row r="499" spans="1:6" x14ac:dyDescent="0.25">
      <c r="A499" s="39" t="s">
        <v>83</v>
      </c>
      <c r="B499" s="40" t="str">
        <f t="shared" ca="1" si="18"/>
        <v>Verduras frescas</v>
      </c>
      <c r="C499" s="41" t="str">
        <f>IFERROR(VLOOKUP("LB",'[1]Informacion '!P:Q,2,FALSE),"")</f>
        <v>Libra </v>
      </c>
      <c r="D499" s="39">
        <v>10</v>
      </c>
      <c r="E499" s="42">
        <v>50</v>
      </c>
      <c r="F499" s="43">
        <f t="shared" ca="1" si="19"/>
        <v>500</v>
      </c>
    </row>
    <row r="500" spans="1:6" x14ac:dyDescent="0.25">
      <c r="A500" s="39" t="s">
        <v>83</v>
      </c>
      <c r="B500" s="40" t="str">
        <f t="shared" ca="1" si="18"/>
        <v>Verduras frescas</v>
      </c>
      <c r="C500" s="41" t="str">
        <f>IFERROR(VLOOKUP("LB",'[1]Informacion '!P:Q,2,FALSE),"")</f>
        <v>Libra </v>
      </c>
      <c r="D500" s="39">
        <v>10</v>
      </c>
      <c r="E500" s="42">
        <v>50</v>
      </c>
      <c r="F500" s="43">
        <f t="shared" ca="1" si="19"/>
        <v>500</v>
      </c>
    </row>
    <row r="501" spans="1:6" x14ac:dyDescent="0.25">
      <c r="A501" s="39" t="s">
        <v>83</v>
      </c>
      <c r="B501" s="40" t="str">
        <f t="shared" ca="1" si="18"/>
        <v>Verduras frescas</v>
      </c>
      <c r="C501" s="41" t="str">
        <f>IFERROR(VLOOKUP("LB",'[1]Informacion '!P:Q,2,FALSE),"")</f>
        <v>Libra </v>
      </c>
      <c r="D501" s="39">
        <v>100</v>
      </c>
      <c r="E501" s="42">
        <v>25</v>
      </c>
      <c r="F501" s="43">
        <f t="shared" ca="1" si="19"/>
        <v>2500</v>
      </c>
    </row>
    <row r="502" spans="1:6" x14ac:dyDescent="0.25">
      <c r="A502" s="39" t="s">
        <v>83</v>
      </c>
      <c r="B502" s="40" t="str">
        <f t="shared" ca="1" si="18"/>
        <v>Verduras frescas</v>
      </c>
      <c r="C502" s="41" t="str">
        <f>IFERROR(VLOOKUP("LB",'[1]Informacion '!P:Q,2,FALSE),"")</f>
        <v>Libra </v>
      </c>
      <c r="D502" s="39">
        <v>300</v>
      </c>
      <c r="E502" s="42">
        <v>15</v>
      </c>
      <c r="F502" s="43">
        <f t="shared" ca="1" si="19"/>
        <v>4500</v>
      </c>
    </row>
    <row r="503" spans="1:6" x14ac:dyDescent="0.25">
      <c r="A503" s="39" t="s">
        <v>83</v>
      </c>
      <c r="B503" s="40" t="str">
        <f t="shared" ca="1" si="18"/>
        <v>Verduras frescas</v>
      </c>
      <c r="C503" s="41" t="str">
        <f>IFERROR(VLOOKUP("PAQ",'[1]Informacion '!P:Q,2,FALSE),"")</f>
        <v>Paquete</v>
      </c>
      <c r="D503" s="39">
        <v>40</v>
      </c>
      <c r="E503" s="42">
        <v>70</v>
      </c>
      <c r="F503" s="43">
        <f t="shared" ca="1" si="19"/>
        <v>2800</v>
      </c>
    </row>
    <row r="504" spans="1:6" x14ac:dyDescent="0.25">
      <c r="A504" s="39" t="s">
        <v>83</v>
      </c>
      <c r="B504" s="40" t="str">
        <f t="shared" ca="1" si="18"/>
        <v>Verduras frescas</v>
      </c>
      <c r="C504" s="41" t="str">
        <f>IFERROR(VLOOKUP("LB",'[1]Informacion '!P:Q,2,FALSE),"")</f>
        <v>Libra </v>
      </c>
      <c r="D504" s="39">
        <v>300</v>
      </c>
      <c r="E504" s="42">
        <v>28</v>
      </c>
      <c r="F504" s="43">
        <f t="shared" ca="1" si="19"/>
        <v>8400</v>
      </c>
    </row>
    <row r="505" spans="1:6" ht="22.5" x14ac:dyDescent="0.25">
      <c r="A505" s="39" t="s">
        <v>84</v>
      </c>
      <c r="B505" s="40" t="str">
        <f ca="1">IFERROR(INDEX(UNSPSCDes,MATCH(INDIRECT(ADDRESS(ROW(),COLUMN()-1,4)),UNSPSCCode,0)),IF(INDIRECT(ADDRESS(ROW(),COLUMN()-1,4))="50171552","Mezcla para adobar",""))</f>
        <v>Mezcla para adobar</v>
      </c>
      <c r="C505" s="41" t="str">
        <f>IFERROR(VLOOKUP("LB",'[1]Informacion '!P:Q,2,FALSE),"")</f>
        <v>Libra </v>
      </c>
      <c r="D505" s="39">
        <v>20</v>
      </c>
      <c r="E505" s="42">
        <v>300</v>
      </c>
      <c r="F505" s="43">
        <f t="shared" ca="1" si="19"/>
        <v>6000</v>
      </c>
    </row>
    <row r="506" spans="1:6" x14ac:dyDescent="0.25">
      <c r="A506" s="39" t="s">
        <v>83</v>
      </c>
      <c r="B506" s="40" t="str">
        <f ca="1">IFERROR(INDEX(UNSPSCDes,MATCH(INDIRECT(ADDRESS(ROW(),COLUMN()-1,4)),UNSPSCCode,0)),IF(INDIRECT(ADDRESS(ROW(),COLUMN()-1,4))="50101538","Verduras frescas",""))</f>
        <v>Verduras frescas</v>
      </c>
      <c r="C506" s="41" t="str">
        <f>IFERROR(VLOOKUP("LB",'[1]Informacion '!P:Q,2,FALSE),"")</f>
        <v>Libra </v>
      </c>
      <c r="D506" s="39">
        <v>60</v>
      </c>
      <c r="E506" s="42">
        <v>80</v>
      </c>
      <c r="F506" s="43">
        <f t="shared" ca="1" si="19"/>
        <v>4800</v>
      </c>
    </row>
    <row r="507" spans="1:6" x14ac:dyDescent="0.25">
      <c r="A507" s="39" t="s">
        <v>85</v>
      </c>
      <c r="B507" s="40" t="str">
        <f ca="1">IFERROR(INDEX(UNSPSCDes,MATCH(INDIRECT(ADDRESS(ROW(),COLUMN()-1,4)),UNSPSCCode,0)),IF(INDIRECT(ADDRESS(ROW(),COLUMN()-1,4))="50101634","Fruta fresca",""))</f>
        <v>Fruta fresca</v>
      </c>
      <c r="C507" s="41" t="str">
        <f>IFERROR(VLOOKUP("UD",'[1]Informacion '!P:Q,2,FALSE),"")</f>
        <v>Unidad</v>
      </c>
      <c r="D507" s="39">
        <v>300</v>
      </c>
      <c r="E507" s="42">
        <v>10</v>
      </c>
      <c r="F507" s="43">
        <f t="shared" ca="1" si="19"/>
        <v>3000</v>
      </c>
    </row>
    <row r="508" spans="1:6" x14ac:dyDescent="0.25">
      <c r="A508" s="39" t="s">
        <v>83</v>
      </c>
      <c r="B508" s="40" t="str">
        <f t="shared" ref="B508:B516" ca="1" si="20">IFERROR(INDEX(UNSPSCDes,MATCH(INDIRECT(ADDRESS(ROW(),COLUMN()-1,4)),UNSPSCCode,0)),IF(INDIRECT(ADDRESS(ROW(),COLUMN()-1,4))="50101538","Verduras frescas",""))</f>
        <v>Verduras frescas</v>
      </c>
      <c r="C508" s="41" t="str">
        <f>IFERROR(VLOOKUP("LB",'[1]Informacion '!P:Q,2,FALSE),"")</f>
        <v>Libra </v>
      </c>
      <c r="D508" s="39">
        <v>300</v>
      </c>
      <c r="E508" s="42">
        <v>30</v>
      </c>
      <c r="F508" s="43">
        <f t="shared" ca="1" si="19"/>
        <v>9000</v>
      </c>
    </row>
    <row r="509" spans="1:6" x14ac:dyDescent="0.25">
      <c r="A509" s="39" t="s">
        <v>83</v>
      </c>
      <c r="B509" s="40" t="str">
        <f t="shared" ca="1" si="20"/>
        <v>Verduras frescas</v>
      </c>
      <c r="C509" s="41" t="str">
        <f>IFERROR(VLOOKUP("LB",'[1]Informacion '!P:Q,2,FALSE),"")</f>
        <v>Libra </v>
      </c>
      <c r="D509" s="39">
        <v>50</v>
      </c>
      <c r="E509" s="42">
        <v>30</v>
      </c>
      <c r="F509" s="43">
        <f t="shared" ca="1" si="19"/>
        <v>1500</v>
      </c>
    </row>
    <row r="510" spans="1:6" x14ac:dyDescent="0.25">
      <c r="A510" s="39" t="s">
        <v>83</v>
      </c>
      <c r="B510" s="40" t="str">
        <f t="shared" ca="1" si="20"/>
        <v>Verduras frescas</v>
      </c>
      <c r="C510" s="41" t="str">
        <f>IFERROR(VLOOKUP("LB",'[1]Informacion '!P:Q,2,FALSE),"")</f>
        <v>Libra </v>
      </c>
      <c r="D510" s="39">
        <v>250</v>
      </c>
      <c r="E510" s="42">
        <v>25</v>
      </c>
      <c r="F510" s="43">
        <f t="shared" ca="1" si="19"/>
        <v>6250</v>
      </c>
    </row>
    <row r="511" spans="1:6" x14ac:dyDescent="0.25">
      <c r="A511" s="39" t="s">
        <v>83</v>
      </c>
      <c r="B511" s="40" t="str">
        <f t="shared" ca="1" si="20"/>
        <v>Verduras frescas</v>
      </c>
      <c r="C511" s="41" t="str">
        <f>IFERROR(VLOOKUP("LB",'[1]Informacion '!P:Q,2,FALSE),"")</f>
        <v>Libra </v>
      </c>
      <c r="D511" s="39">
        <v>750</v>
      </c>
      <c r="E511" s="42">
        <v>15</v>
      </c>
      <c r="F511" s="43">
        <f t="shared" ca="1" si="19"/>
        <v>11250</v>
      </c>
    </row>
    <row r="512" spans="1:6" x14ac:dyDescent="0.25">
      <c r="A512" s="39" t="s">
        <v>83</v>
      </c>
      <c r="B512" s="40" t="str">
        <f t="shared" ca="1" si="20"/>
        <v>Verduras frescas</v>
      </c>
      <c r="C512" s="41" t="str">
        <f>IFERROR(VLOOKUP("LB",'[1]Informacion '!P:Q,2,FALSE),"")</f>
        <v>Libra </v>
      </c>
      <c r="D512" s="39">
        <v>40</v>
      </c>
      <c r="E512" s="42">
        <v>40</v>
      </c>
      <c r="F512" s="43">
        <f t="shared" ca="1" si="19"/>
        <v>1600</v>
      </c>
    </row>
    <row r="513" spans="1:6" x14ac:dyDescent="0.25">
      <c r="A513" s="39" t="s">
        <v>83</v>
      </c>
      <c r="B513" s="40" t="str">
        <f t="shared" ca="1" si="20"/>
        <v>Verduras frescas</v>
      </c>
      <c r="C513" s="41" t="str">
        <f>IFERROR(VLOOKUP("LB",'[1]Informacion '!P:Q,2,FALSE),"")</f>
        <v>Libra </v>
      </c>
      <c r="D513" s="39">
        <v>300</v>
      </c>
      <c r="E513" s="42">
        <v>35</v>
      </c>
      <c r="F513" s="43">
        <f t="shared" ca="1" si="19"/>
        <v>10500</v>
      </c>
    </row>
    <row r="514" spans="1:6" x14ac:dyDescent="0.25">
      <c r="A514" s="39" t="s">
        <v>83</v>
      </c>
      <c r="B514" s="40" t="str">
        <f t="shared" ca="1" si="20"/>
        <v>Verduras frescas</v>
      </c>
      <c r="C514" s="41" t="str">
        <f>IFERROR(VLOOKUP("LB",'[1]Informacion '!P:Q,2,FALSE),"")</f>
        <v>Libra </v>
      </c>
      <c r="D514" s="39">
        <v>300</v>
      </c>
      <c r="E514" s="42">
        <v>18</v>
      </c>
      <c r="F514" s="43">
        <f t="shared" ca="1" si="19"/>
        <v>5400</v>
      </c>
    </row>
    <row r="515" spans="1:6" x14ac:dyDescent="0.25">
      <c r="A515" s="39" t="s">
        <v>83</v>
      </c>
      <c r="B515" s="40" t="str">
        <f t="shared" ca="1" si="20"/>
        <v>Verduras frescas</v>
      </c>
      <c r="C515" s="41" t="str">
        <f>IFERROR(VLOOKUP("LB",'[1]Informacion '!P:Q,2,FALSE),"")</f>
        <v>Libra </v>
      </c>
      <c r="D515" s="39">
        <v>125</v>
      </c>
      <c r="E515" s="42">
        <v>85</v>
      </c>
      <c r="F515" s="43">
        <f t="shared" ca="1" si="19"/>
        <v>10625</v>
      </c>
    </row>
    <row r="516" spans="1:6" x14ac:dyDescent="0.25">
      <c r="A516" s="39" t="s">
        <v>83</v>
      </c>
      <c r="B516" s="40" t="str">
        <f t="shared" ca="1" si="20"/>
        <v>Verduras frescas</v>
      </c>
      <c r="C516" s="41" t="str">
        <f>IFERROR(VLOOKUP("LB",'[1]Informacion '!P:Q,2,FALSE),"")</f>
        <v>Libra </v>
      </c>
      <c r="D516" s="39">
        <v>500</v>
      </c>
      <c r="E516" s="42">
        <v>45</v>
      </c>
      <c r="F516" s="43">
        <f t="shared" ca="1" si="19"/>
        <v>22500</v>
      </c>
    </row>
    <row r="517" spans="1:6" x14ac:dyDescent="0.25">
      <c r="A517" s="39" t="s">
        <v>86</v>
      </c>
      <c r="B517" s="40" t="str">
        <f ca="1">IFERROR(INDEX(UNSPSCDes,MATCH(INDIRECT(ADDRESS(ROW(),COLUMN()-1,4)),UNSPSCCode,0)),IF(INDIRECT(ADDRESS(ROW(),COLUMN()-1,4))="50131606","Huevos frescos",""))</f>
        <v>Huevos frescos</v>
      </c>
      <c r="C517" s="41" t="str">
        <f>IFERROR(VLOOKUP("UD",'[1]Informacion '!P:Q,2,FALSE),"")</f>
        <v>Unidad</v>
      </c>
      <c r="D517" s="39">
        <v>6000</v>
      </c>
      <c r="E517" s="42">
        <v>6.5</v>
      </c>
      <c r="F517" s="43">
        <f t="shared" ca="1" si="19"/>
        <v>39000</v>
      </c>
    </row>
    <row r="518" spans="1:6" x14ac:dyDescent="0.25">
      <c r="A518" s="39" t="s">
        <v>85</v>
      </c>
      <c r="B518" s="40" t="str">
        <f ca="1">IFERROR(INDEX(UNSPSCDes,MATCH(INDIRECT(ADDRESS(ROW(),COLUMN()-1,4)),UNSPSCCode,0)),IF(INDIRECT(ADDRESS(ROW(),COLUMN()-1,4))="50101634","Fruta fresca",""))</f>
        <v>Fruta fresca</v>
      </c>
      <c r="C518" s="41" t="str">
        <f>IFERROR(VLOOKUP("UD",'[1]Informacion '!P:Q,2,FALSE),"")</f>
        <v>Unidad</v>
      </c>
      <c r="D518" s="39">
        <v>40</v>
      </c>
      <c r="E518" s="42">
        <v>200</v>
      </c>
      <c r="F518" s="43">
        <f t="shared" ca="1" si="19"/>
        <v>8000</v>
      </c>
    </row>
    <row r="519" spans="1:6" x14ac:dyDescent="0.25">
      <c r="A519" s="39" t="s">
        <v>83</v>
      </c>
      <c r="B519" s="40" t="str">
        <f ca="1">IFERROR(INDEX(UNSPSCDes,MATCH(INDIRECT(ADDRESS(ROW(),COLUMN()-1,4)),UNSPSCCode,0)),IF(INDIRECT(ADDRESS(ROW(),COLUMN()-1,4))="50101538","Verduras frescas",""))</f>
        <v>Verduras frescas</v>
      </c>
      <c r="C519" s="41" t="str">
        <f>IFERROR(VLOOKUP("LB",'[1]Informacion '!P:Q,2,FALSE),"")</f>
        <v>Libra </v>
      </c>
      <c r="D519" s="39">
        <v>80</v>
      </c>
      <c r="E519" s="42">
        <v>45</v>
      </c>
      <c r="F519" s="43">
        <f t="shared" ca="1" si="19"/>
        <v>3600</v>
      </c>
    </row>
    <row r="520" spans="1:6" x14ac:dyDescent="0.25">
      <c r="A520" s="39" t="s">
        <v>85</v>
      </c>
      <c r="B520" s="40" t="str">
        <f ca="1">IFERROR(INDEX(UNSPSCDes,MATCH(INDIRECT(ADDRESS(ROW(),COLUMN()-1,4)),UNSPSCCode,0)),IF(INDIRECT(ADDRESS(ROW(),COLUMN()-1,4))="50101634","Fruta fresca",""))</f>
        <v>Fruta fresca</v>
      </c>
      <c r="C520" s="41" t="str">
        <f>IFERROR(VLOOKUP("LB",'[1]Informacion '!P:Q,2,FALSE),"")</f>
        <v>Libra </v>
      </c>
      <c r="D520" s="39">
        <v>40</v>
      </c>
      <c r="E520" s="42">
        <v>65</v>
      </c>
      <c r="F520" s="43">
        <f t="shared" ca="1" si="19"/>
        <v>2600</v>
      </c>
    </row>
    <row r="521" spans="1:6" x14ac:dyDescent="0.25">
      <c r="A521" s="39" t="s">
        <v>85</v>
      </c>
      <c r="B521" s="40" t="str">
        <f ca="1">IFERROR(INDEX(UNSPSCDes,MATCH(INDIRECT(ADDRESS(ROW(),COLUMN()-1,4)),UNSPSCCode,0)),IF(INDIRECT(ADDRESS(ROW(),COLUMN()-1,4))="50101634","Fruta fresca",""))</f>
        <v>Fruta fresca</v>
      </c>
      <c r="C521" s="41" t="str">
        <f>IFERROR(VLOOKUP("UD",'[1]Informacion '!P:Q,2,FALSE),"")</f>
        <v>Unidad</v>
      </c>
      <c r="D521" s="39">
        <v>500</v>
      </c>
      <c r="E521" s="42">
        <v>12</v>
      </c>
      <c r="F521" s="43">
        <f t="shared" ca="1" si="19"/>
        <v>6000</v>
      </c>
    </row>
    <row r="522" spans="1:6" x14ac:dyDescent="0.25">
      <c r="A522" s="39" t="s">
        <v>85</v>
      </c>
      <c r="B522" s="40" t="str">
        <f ca="1">IFERROR(INDEX(UNSPSCDes,MATCH(INDIRECT(ADDRESS(ROW(),COLUMN()-1,4)),UNSPSCCode,0)),IF(INDIRECT(ADDRESS(ROW(),COLUMN()-1,4))="50101634","Fruta fresca",""))</f>
        <v>Fruta fresca</v>
      </c>
      <c r="C522" s="41" t="str">
        <f>IFERROR(VLOOKUP("UD",'[1]Informacion '!P:Q,2,FALSE),"")</f>
        <v>Unidad</v>
      </c>
      <c r="D522" s="39">
        <v>40</v>
      </c>
      <c r="E522" s="42">
        <v>60</v>
      </c>
      <c r="F522" s="43">
        <f t="shared" ca="1" si="19"/>
        <v>2400</v>
      </c>
    </row>
    <row r="523" spans="1:6" x14ac:dyDescent="0.25">
      <c r="A523" s="39" t="s">
        <v>85</v>
      </c>
      <c r="B523" s="40" t="str">
        <f ca="1">IFERROR(INDEX(UNSPSCDes,MATCH(INDIRECT(ADDRESS(ROW(),COLUMN()-1,4)),UNSPSCCode,0)),IF(INDIRECT(ADDRESS(ROW(),COLUMN()-1,4))="50101634","Fruta fresca",""))</f>
        <v>Fruta fresca</v>
      </c>
      <c r="C523" s="41" t="str">
        <f>IFERROR(VLOOKUP("UD",'[1]Informacion '!P:Q,2,FALSE),"")</f>
        <v>Unidad</v>
      </c>
      <c r="D523" s="39">
        <v>40</v>
      </c>
      <c r="E523" s="42">
        <v>60</v>
      </c>
      <c r="F523" s="43">
        <f t="shared" ca="1" si="19"/>
        <v>2400</v>
      </c>
    </row>
    <row r="524" spans="1:6" x14ac:dyDescent="0.25">
      <c r="A524" s="39" t="s">
        <v>85</v>
      </c>
      <c r="B524" s="40" t="str">
        <f ca="1">IFERROR(INDEX(UNSPSCDes,MATCH(INDIRECT(ADDRESS(ROW(),COLUMN()-1,4)),UNSPSCCode,0)),IF(INDIRECT(ADDRESS(ROW(),COLUMN()-1,4))="50101634","Fruta fresca",""))</f>
        <v>Fruta fresca</v>
      </c>
      <c r="C524" s="41" t="str">
        <f>IFERROR(VLOOKUP("UD",'[1]Informacion '!P:Q,2,FALSE),"")</f>
        <v>Unidad</v>
      </c>
      <c r="D524" s="39">
        <v>2000</v>
      </c>
      <c r="E524" s="42">
        <v>7</v>
      </c>
      <c r="F524" s="43">
        <f t="shared" ca="1" si="19"/>
        <v>14000</v>
      </c>
    </row>
    <row r="525" spans="1:6" x14ac:dyDescent="0.25">
      <c r="A525" s="39" t="s">
        <v>83</v>
      </c>
      <c r="B525" s="40" t="str">
        <f t="shared" ref="B525:B535" ca="1" si="21">IFERROR(INDEX(UNSPSCDes,MATCH(INDIRECT(ADDRESS(ROW(),COLUMN()-1,4)),UNSPSCCode,0)),IF(INDIRECT(ADDRESS(ROW(),COLUMN()-1,4))="50101538","Verduras frescas",""))</f>
        <v>Verduras frescas</v>
      </c>
      <c r="C525" s="41" t="str">
        <f>IFERROR(VLOOKUP("UD",'[1]Informacion '!P:Q,2,FALSE),"")</f>
        <v>Unidad</v>
      </c>
      <c r="D525" s="39">
        <v>500</v>
      </c>
      <c r="E525" s="42">
        <v>16</v>
      </c>
      <c r="F525" s="43">
        <f t="shared" ca="1" si="19"/>
        <v>8000</v>
      </c>
    </row>
    <row r="526" spans="1:6" x14ac:dyDescent="0.25">
      <c r="A526" s="39" t="s">
        <v>83</v>
      </c>
      <c r="B526" s="40" t="str">
        <f t="shared" ca="1" si="21"/>
        <v>Verduras frescas</v>
      </c>
      <c r="C526" s="41" t="str">
        <f>IFERROR(VLOOKUP("UD",'[1]Informacion '!P:Q,2,FALSE),"")</f>
        <v>Unidad</v>
      </c>
      <c r="D526" s="39">
        <v>15000</v>
      </c>
      <c r="E526" s="42">
        <v>7</v>
      </c>
      <c r="F526" s="43">
        <f t="shared" ca="1" si="19"/>
        <v>105000</v>
      </c>
    </row>
    <row r="527" spans="1:6" x14ac:dyDescent="0.25">
      <c r="A527" s="39" t="s">
        <v>83</v>
      </c>
      <c r="B527" s="40" t="str">
        <f t="shared" ca="1" si="21"/>
        <v>Verduras frescas</v>
      </c>
      <c r="C527" s="41" t="str">
        <f>IFERROR(VLOOKUP("UD",'[1]Informacion '!P:Q,2,FALSE),"")</f>
        <v>Unidad</v>
      </c>
      <c r="D527" s="39">
        <v>2000</v>
      </c>
      <c r="E527" s="42">
        <v>16</v>
      </c>
      <c r="F527" s="43">
        <f t="shared" ca="1" si="19"/>
        <v>32000</v>
      </c>
    </row>
    <row r="528" spans="1:6" x14ac:dyDescent="0.25">
      <c r="A528" s="39" t="s">
        <v>83</v>
      </c>
      <c r="B528" s="40" t="str">
        <f t="shared" ca="1" si="21"/>
        <v>Verduras frescas</v>
      </c>
      <c r="C528" s="41" t="str">
        <f>IFERROR(VLOOKUP("LB",'[1]Informacion '!P:Q,2,FALSE),"")</f>
        <v>Libra </v>
      </c>
      <c r="D528" s="39">
        <v>1200</v>
      </c>
      <c r="E528" s="42">
        <v>55</v>
      </c>
      <c r="F528" s="43">
        <f t="shared" ca="1" si="19"/>
        <v>66000</v>
      </c>
    </row>
    <row r="529" spans="1:6" x14ac:dyDescent="0.25">
      <c r="A529" s="39" t="s">
        <v>83</v>
      </c>
      <c r="B529" s="40" t="str">
        <f t="shared" ca="1" si="21"/>
        <v>Verduras frescas</v>
      </c>
      <c r="C529" s="41" t="str">
        <f>IFERROR(VLOOKUP("LB",'[1]Informacion '!P:Q,2,FALSE),"")</f>
        <v>Libra </v>
      </c>
      <c r="D529" s="39">
        <v>1200</v>
      </c>
      <c r="E529" s="42">
        <v>50</v>
      </c>
      <c r="F529" s="43">
        <f t="shared" ca="1" si="19"/>
        <v>60000</v>
      </c>
    </row>
    <row r="530" spans="1:6" x14ac:dyDescent="0.25">
      <c r="A530" s="39" t="s">
        <v>83</v>
      </c>
      <c r="B530" s="40" t="str">
        <f t="shared" ca="1" si="21"/>
        <v>Verduras frescas</v>
      </c>
      <c r="C530" s="41" t="str">
        <f>IFERROR(VLOOKUP("LB",'[1]Informacion '!P:Q,2,FALSE),"")</f>
        <v>Libra </v>
      </c>
      <c r="D530" s="39">
        <v>300</v>
      </c>
      <c r="E530" s="42">
        <v>25</v>
      </c>
      <c r="F530" s="43">
        <f t="shared" ca="1" si="19"/>
        <v>7500</v>
      </c>
    </row>
    <row r="531" spans="1:6" x14ac:dyDescent="0.25">
      <c r="A531" s="39" t="s">
        <v>83</v>
      </c>
      <c r="B531" s="40" t="str">
        <f t="shared" ca="1" si="21"/>
        <v>Verduras frescas</v>
      </c>
      <c r="C531" s="41" t="str">
        <f>IFERROR(VLOOKUP("LB",'[1]Informacion '!P:Q,2,FALSE),"")</f>
        <v>Libra </v>
      </c>
      <c r="D531" s="39">
        <v>300</v>
      </c>
      <c r="E531" s="42">
        <v>25</v>
      </c>
      <c r="F531" s="43">
        <f t="shared" ca="1" si="19"/>
        <v>7500</v>
      </c>
    </row>
    <row r="532" spans="1:6" x14ac:dyDescent="0.25">
      <c r="A532" s="39" t="s">
        <v>83</v>
      </c>
      <c r="B532" s="40" t="str">
        <f t="shared" ca="1" si="21"/>
        <v>Verduras frescas</v>
      </c>
      <c r="C532" s="41" t="str">
        <f>IFERROR(VLOOKUP("LB",'[1]Informacion '!P:Q,2,FALSE),"")</f>
        <v>Libra </v>
      </c>
      <c r="D532" s="39">
        <v>150</v>
      </c>
      <c r="E532" s="42">
        <v>25</v>
      </c>
      <c r="F532" s="43">
        <f t="shared" ca="1" si="19"/>
        <v>3750</v>
      </c>
    </row>
    <row r="533" spans="1:6" x14ac:dyDescent="0.25">
      <c r="A533" s="39" t="s">
        <v>83</v>
      </c>
      <c r="B533" s="40" t="str">
        <f t="shared" ca="1" si="21"/>
        <v>Verduras frescas</v>
      </c>
      <c r="C533" s="41" t="str">
        <f>IFERROR(VLOOKUP("LB",'[1]Informacion '!P:Q,2,FALSE),"")</f>
        <v>Libra </v>
      </c>
      <c r="D533" s="39">
        <v>40</v>
      </c>
      <c r="E533" s="42">
        <v>50</v>
      </c>
      <c r="F533" s="43">
        <f t="shared" ca="1" si="19"/>
        <v>2000</v>
      </c>
    </row>
    <row r="534" spans="1:6" x14ac:dyDescent="0.25">
      <c r="A534" s="39" t="s">
        <v>83</v>
      </c>
      <c r="B534" s="40" t="str">
        <f t="shared" ca="1" si="21"/>
        <v>Verduras frescas</v>
      </c>
      <c r="C534" s="41" t="str">
        <f>IFERROR(VLOOKUP("LB",'[1]Informacion '!P:Q,2,FALSE),"")</f>
        <v>Libra </v>
      </c>
      <c r="D534" s="39">
        <v>800</v>
      </c>
      <c r="E534" s="42">
        <v>50</v>
      </c>
      <c r="F534" s="43">
        <f t="shared" ca="1" si="19"/>
        <v>40000</v>
      </c>
    </row>
    <row r="535" spans="1:6" x14ac:dyDescent="0.25">
      <c r="A535" s="39" t="s">
        <v>83</v>
      </c>
      <c r="B535" s="40" t="str">
        <f t="shared" ca="1" si="21"/>
        <v>Verduras frescas</v>
      </c>
      <c r="C535" s="41" t="str">
        <f>IFERROR(VLOOKUP("LB",'[1]Informacion '!P:Q,2,FALSE),"")</f>
        <v>Libra </v>
      </c>
      <c r="D535" s="39">
        <v>150</v>
      </c>
      <c r="E535" s="42">
        <v>55</v>
      </c>
      <c r="F535" s="43">
        <f t="shared" ca="1" si="19"/>
        <v>8250</v>
      </c>
    </row>
    <row r="536" spans="1:6" ht="22.5" x14ac:dyDescent="0.25">
      <c r="A536" s="39" t="s">
        <v>87</v>
      </c>
      <c r="B536" s="40" t="str">
        <f ca="1">IFERROR(INDEX(UNSPSCDes,MATCH(INDIRECT(ADDRESS(ROW(),COLUMN()-1,4)),UNSPSCCode,0)),IF(INDIRECT(ADDRESS(ROW(),COLUMN()-1,4))="50171550","Especies o extractos",""))</f>
        <v>Especies o extractos</v>
      </c>
      <c r="C536" s="41" t="str">
        <f>IFERROR(VLOOKUP("LB",'[1]Informacion '!P:Q,2,FALSE),"")</f>
        <v>Libra </v>
      </c>
      <c r="D536" s="39">
        <v>20</v>
      </c>
      <c r="E536" s="42">
        <v>250</v>
      </c>
      <c r="F536" s="43">
        <f t="shared" ca="1" si="19"/>
        <v>5000</v>
      </c>
    </row>
    <row r="537" spans="1:6" ht="22.5" x14ac:dyDescent="0.25">
      <c r="A537" s="39" t="s">
        <v>87</v>
      </c>
      <c r="B537" s="40" t="str">
        <f ca="1">IFERROR(INDEX(UNSPSCDes,MATCH(INDIRECT(ADDRESS(ROW(),COLUMN()-1,4)),UNSPSCCode,0)),IF(INDIRECT(ADDRESS(ROW(),COLUMN()-1,4))="50171550","Especies o extractos",""))</f>
        <v>Especies o extractos</v>
      </c>
      <c r="C537" s="41" t="str">
        <f>IFERROR(VLOOKUP("LB",'[1]Informacion '!P:Q,2,FALSE),"")</f>
        <v>Libra </v>
      </c>
      <c r="D537" s="39">
        <v>10</v>
      </c>
      <c r="E537" s="42">
        <v>250</v>
      </c>
      <c r="F537" s="43">
        <f t="shared" ca="1" si="19"/>
        <v>2500</v>
      </c>
    </row>
    <row r="538" spans="1:6" x14ac:dyDescent="0.25">
      <c r="A538" s="39" t="s">
        <v>83</v>
      </c>
      <c r="B538" s="40" t="str">
        <f ca="1">IFERROR(INDEX(UNSPSCDes,MATCH(INDIRECT(ADDRESS(ROW(),COLUMN()-1,4)),UNSPSCCode,0)),IF(INDIRECT(ADDRESS(ROW(),COLUMN()-1,4))="50101538","Verduras frescas",""))</f>
        <v>Verduras frescas</v>
      </c>
      <c r="C538" s="41" t="str">
        <f>IFERROR(VLOOKUP("LB",'[1]Informacion '!P:Q,2,FALSE),"")</f>
        <v>Libra </v>
      </c>
      <c r="D538" s="39">
        <v>10</v>
      </c>
      <c r="E538" s="42">
        <v>200</v>
      </c>
      <c r="F538" s="43">
        <f t="shared" ca="1" si="19"/>
        <v>2000</v>
      </c>
    </row>
    <row r="539" spans="1:6" x14ac:dyDescent="0.25">
      <c r="A539" s="39" t="s">
        <v>83</v>
      </c>
      <c r="B539" s="40" t="str">
        <f ca="1">IFERROR(INDEX(UNSPSCDes,MATCH(INDIRECT(ADDRESS(ROW(),COLUMN()-1,4)),UNSPSCCode,0)),IF(INDIRECT(ADDRESS(ROW(),COLUMN()-1,4))="50101538","Verduras frescas",""))</f>
        <v>Verduras frescas</v>
      </c>
      <c r="C539" s="41" t="str">
        <f>IFERROR(VLOOKUP("LB",'[1]Informacion '!P:Q,2,FALSE),"")</f>
        <v>Libra </v>
      </c>
      <c r="D539" s="39">
        <v>20</v>
      </c>
      <c r="E539" s="42">
        <v>45</v>
      </c>
      <c r="F539" s="43">
        <f t="shared" ca="1" si="19"/>
        <v>900</v>
      </c>
    </row>
    <row r="540" spans="1:6" x14ac:dyDescent="0.25">
      <c r="A540" s="46"/>
      <c r="B540" s="46"/>
      <c r="C540" s="46"/>
      <c r="D540" s="46"/>
      <c r="E540" s="44" t="s">
        <v>46</v>
      </c>
      <c r="F540" s="45">
        <f ca="1">SUM(Table15[MONTO TOTAL ESTIMADO])</f>
        <v>579425</v>
      </c>
    </row>
    <row r="541" spans="1:6" ht="15.75" thickBot="1" x14ac:dyDescent="0.3">
      <c r="A541" s="46"/>
      <c r="B541" s="46"/>
      <c r="C541" s="46"/>
      <c r="D541" s="46"/>
      <c r="E541" s="46"/>
      <c r="F541" s="46"/>
    </row>
    <row r="542" spans="1:6" ht="34.5" thickBot="1" x14ac:dyDescent="0.3">
      <c r="A542" s="29" t="s">
        <v>18</v>
      </c>
      <c r="B542" s="29" t="s">
        <v>19</v>
      </c>
      <c r="C542" s="29" t="s">
        <v>20</v>
      </c>
      <c r="D542" s="29" t="s">
        <v>21</v>
      </c>
      <c r="E542" s="29" t="s">
        <v>22</v>
      </c>
      <c r="F542" s="29" t="s">
        <v>23</v>
      </c>
    </row>
    <row r="543" spans="1:6" ht="15.75" thickBot="1" x14ac:dyDescent="0.3">
      <c r="A543" s="30" t="s">
        <v>24</v>
      </c>
      <c r="B543" s="30" t="s">
        <v>82</v>
      </c>
      <c r="C543" s="30" t="s">
        <v>26</v>
      </c>
      <c r="D543" s="30" t="s">
        <v>27</v>
      </c>
      <c r="E543" s="30" t="s">
        <v>28</v>
      </c>
      <c r="F543" s="30" t="s">
        <v>17</v>
      </c>
    </row>
    <row r="544" spans="1:6" ht="15.75" thickBot="1" x14ac:dyDescent="0.3">
      <c r="A544" s="31" t="s">
        <v>29</v>
      </c>
      <c r="B544" s="32" t="s">
        <v>30</v>
      </c>
      <c r="C544" s="33">
        <v>46239</v>
      </c>
      <c r="D544" s="31" t="s">
        <v>31</v>
      </c>
      <c r="E544" s="34" t="s">
        <v>32</v>
      </c>
      <c r="F544" s="35" t="s">
        <v>33</v>
      </c>
    </row>
    <row r="545" spans="1:6" ht="15.75" thickBot="1" x14ac:dyDescent="0.3">
      <c r="A545" s="36"/>
      <c r="B545" s="32" t="s">
        <v>34</v>
      </c>
      <c r="C545" s="37">
        <f>IF(C544="","",IF(AND(MONTH(C544)&gt;=1,MONTH(C544)&lt;=3),1,IF(AND(MONTH(C544)&gt;=4,MONTH(C544)&lt;=6),2,IF(AND(MONTH(C544)&gt;=7,MONTH(C544)&lt;=9),3,4))))</f>
        <v>3</v>
      </c>
      <c r="D545" s="36"/>
      <c r="E545" s="34" t="s">
        <v>35</v>
      </c>
      <c r="F545" s="35"/>
    </row>
    <row r="546" spans="1:6" ht="15.75" thickBot="1" x14ac:dyDescent="0.3">
      <c r="A546" s="36"/>
      <c r="B546" s="32" t="s">
        <v>36</v>
      </c>
      <c r="C546" s="33">
        <v>46242</v>
      </c>
      <c r="D546" s="36"/>
      <c r="E546" s="34" t="s">
        <v>37</v>
      </c>
      <c r="F546" s="35"/>
    </row>
    <row r="547" spans="1:6" ht="15.75" thickBot="1" x14ac:dyDescent="0.3">
      <c r="A547" s="36"/>
      <c r="B547" s="32" t="s">
        <v>34</v>
      </c>
      <c r="C547" s="37">
        <f>IF(C546="","",IF(AND(MONTH(C546)&gt;=1,MONTH(C546)&lt;=3),1,IF(AND(MONTH(C546)&gt;=4,MONTH(C546)&lt;=6),2,IF(AND(MONTH(C546)&gt;=7,MONTH(C546)&lt;=9),3,4))))</f>
        <v>3</v>
      </c>
      <c r="D547" s="36"/>
      <c r="E547" s="34" t="s">
        <v>38</v>
      </c>
      <c r="F547" s="35"/>
    </row>
    <row r="548" spans="1:6" ht="15.75" thickBot="1" x14ac:dyDescent="0.3">
      <c r="A548" s="46"/>
      <c r="B548" s="46"/>
      <c r="C548" s="46"/>
      <c r="D548" s="46"/>
      <c r="E548" s="46"/>
      <c r="F548" s="46"/>
    </row>
    <row r="549" spans="1:6" ht="15.75" thickBot="1" x14ac:dyDescent="0.3">
      <c r="A549" s="38" t="s">
        <v>39</v>
      </c>
      <c r="B549" s="38" t="s">
        <v>40</v>
      </c>
      <c r="C549" s="38" t="s">
        <v>41</v>
      </c>
      <c r="D549" s="38" t="s">
        <v>42</v>
      </c>
      <c r="E549" s="38" t="s">
        <v>43</v>
      </c>
      <c r="F549" s="38" t="s">
        <v>44</v>
      </c>
    </row>
    <row r="550" spans="1:6" x14ac:dyDescent="0.25">
      <c r="A550" s="39" t="s">
        <v>83</v>
      </c>
      <c r="B550" s="40" t="str">
        <f t="shared" ref="B550:B558" ca="1" si="22">IFERROR(INDEX(UNSPSCDes,MATCH(INDIRECT(ADDRESS(ROW(),COLUMN()-1,4)),UNSPSCCode,0)),IF(INDIRECT(ADDRESS(ROW(),COLUMN()-1,4))="50101538","Verduras frescas",""))</f>
        <v>Verduras frescas</v>
      </c>
      <c r="C550" s="41" t="str">
        <f>IFERROR(VLOOKUP("LB",'[1]Informacion '!P:Q,2,FALSE),"")</f>
        <v>Libra </v>
      </c>
      <c r="D550" s="39">
        <v>800</v>
      </c>
      <c r="E550" s="42">
        <v>20</v>
      </c>
      <c r="F550" s="43">
        <f t="shared" ref="F550:F593" ca="1" si="23">INDIRECT(ADDRESS(ROW(),COLUMN()-2,4))*INDIRECT(ADDRESS(ROW(),COLUMN()-1,4))</f>
        <v>16000</v>
      </c>
    </row>
    <row r="551" spans="1:6" x14ac:dyDescent="0.25">
      <c r="A551" s="39" t="s">
        <v>83</v>
      </c>
      <c r="B551" s="40" t="str">
        <f t="shared" ca="1" si="22"/>
        <v>Verduras frescas</v>
      </c>
      <c r="C551" s="41" t="str">
        <f>IFERROR(VLOOKUP("PAQ",'[1]Informacion '!P:Q,2,FALSE),"")</f>
        <v>Paquete</v>
      </c>
      <c r="D551" s="39">
        <v>40</v>
      </c>
      <c r="E551" s="42">
        <v>60</v>
      </c>
      <c r="F551" s="43">
        <f t="shared" ca="1" si="23"/>
        <v>2400</v>
      </c>
    </row>
    <row r="552" spans="1:6" x14ac:dyDescent="0.25">
      <c r="A552" s="39" t="s">
        <v>83</v>
      </c>
      <c r="B552" s="40" t="str">
        <f t="shared" ca="1" si="22"/>
        <v>Verduras frescas</v>
      </c>
      <c r="C552" s="41" t="str">
        <f>IFERROR(VLOOKUP("LB",'[1]Informacion '!P:Q,2,FALSE),"")</f>
        <v>Libra </v>
      </c>
      <c r="D552" s="39">
        <v>750</v>
      </c>
      <c r="E552" s="42">
        <v>28</v>
      </c>
      <c r="F552" s="43">
        <f t="shared" ca="1" si="23"/>
        <v>21000</v>
      </c>
    </row>
    <row r="553" spans="1:6" x14ac:dyDescent="0.25">
      <c r="A553" s="39" t="s">
        <v>83</v>
      </c>
      <c r="B553" s="40" t="str">
        <f t="shared" ca="1" si="22"/>
        <v>Verduras frescas</v>
      </c>
      <c r="C553" s="41" t="str">
        <f>IFERROR(VLOOKUP("LB",'[1]Informacion '!P:Q,2,FALSE),"")</f>
        <v>Libra </v>
      </c>
      <c r="D553" s="39">
        <v>10</v>
      </c>
      <c r="E553" s="42">
        <v>50</v>
      </c>
      <c r="F553" s="43">
        <f t="shared" ca="1" si="23"/>
        <v>500</v>
      </c>
    </row>
    <row r="554" spans="1:6" x14ac:dyDescent="0.25">
      <c r="A554" s="39" t="s">
        <v>83</v>
      </c>
      <c r="B554" s="40" t="str">
        <f t="shared" ca="1" si="22"/>
        <v>Verduras frescas</v>
      </c>
      <c r="C554" s="41" t="str">
        <f>IFERROR(VLOOKUP("LB",'[1]Informacion '!P:Q,2,FALSE),"")</f>
        <v>Libra </v>
      </c>
      <c r="D554" s="39">
        <v>10</v>
      </c>
      <c r="E554" s="42">
        <v>50</v>
      </c>
      <c r="F554" s="43">
        <f t="shared" ca="1" si="23"/>
        <v>500</v>
      </c>
    </row>
    <row r="555" spans="1:6" x14ac:dyDescent="0.25">
      <c r="A555" s="39" t="s">
        <v>83</v>
      </c>
      <c r="B555" s="40" t="str">
        <f t="shared" ca="1" si="22"/>
        <v>Verduras frescas</v>
      </c>
      <c r="C555" s="41" t="str">
        <f>IFERROR(VLOOKUP("LB",'[1]Informacion '!P:Q,2,FALSE),"")</f>
        <v>Libra </v>
      </c>
      <c r="D555" s="39">
        <v>100</v>
      </c>
      <c r="E555" s="42">
        <v>25</v>
      </c>
      <c r="F555" s="43">
        <f t="shared" ca="1" si="23"/>
        <v>2500</v>
      </c>
    </row>
    <row r="556" spans="1:6" x14ac:dyDescent="0.25">
      <c r="A556" s="39" t="s">
        <v>83</v>
      </c>
      <c r="B556" s="40" t="str">
        <f t="shared" ca="1" si="22"/>
        <v>Verduras frescas</v>
      </c>
      <c r="C556" s="41" t="str">
        <f>IFERROR(VLOOKUP("LB",'[1]Informacion '!P:Q,2,FALSE),"")</f>
        <v>Libra </v>
      </c>
      <c r="D556" s="39">
        <v>300</v>
      </c>
      <c r="E556" s="42">
        <v>15</v>
      </c>
      <c r="F556" s="43">
        <f t="shared" ca="1" si="23"/>
        <v>4500</v>
      </c>
    </row>
    <row r="557" spans="1:6" x14ac:dyDescent="0.25">
      <c r="A557" s="39" t="s">
        <v>83</v>
      </c>
      <c r="B557" s="40" t="str">
        <f t="shared" ca="1" si="22"/>
        <v>Verduras frescas</v>
      </c>
      <c r="C557" s="41" t="str">
        <f>IFERROR(VLOOKUP("PAQ",'[1]Informacion '!P:Q,2,FALSE),"")</f>
        <v>Paquete</v>
      </c>
      <c r="D557" s="39">
        <v>40</v>
      </c>
      <c r="E557" s="42">
        <v>70</v>
      </c>
      <c r="F557" s="43">
        <f t="shared" ca="1" si="23"/>
        <v>2800</v>
      </c>
    </row>
    <row r="558" spans="1:6" x14ac:dyDescent="0.25">
      <c r="A558" s="39" t="s">
        <v>83</v>
      </c>
      <c r="B558" s="40" t="str">
        <f t="shared" ca="1" si="22"/>
        <v>Verduras frescas</v>
      </c>
      <c r="C558" s="41" t="str">
        <f>IFERROR(VLOOKUP("LB",'[1]Informacion '!P:Q,2,FALSE),"")</f>
        <v>Libra </v>
      </c>
      <c r="D558" s="39">
        <v>300</v>
      </c>
      <c r="E558" s="42">
        <v>28</v>
      </c>
      <c r="F558" s="43">
        <f t="shared" ca="1" si="23"/>
        <v>8400</v>
      </c>
    </row>
    <row r="559" spans="1:6" ht="22.5" x14ac:dyDescent="0.25">
      <c r="A559" s="39" t="s">
        <v>84</v>
      </c>
      <c r="B559" s="40" t="str">
        <f ca="1">IFERROR(INDEX(UNSPSCDes,MATCH(INDIRECT(ADDRESS(ROW(),COLUMN()-1,4)),UNSPSCCode,0)),IF(INDIRECT(ADDRESS(ROW(),COLUMN()-1,4))="50171552","Mezcla para adobar",""))</f>
        <v>Mezcla para adobar</v>
      </c>
      <c r="C559" s="41" t="str">
        <f>IFERROR(VLOOKUP("LB",'[1]Informacion '!P:Q,2,FALSE),"")</f>
        <v>Libra </v>
      </c>
      <c r="D559" s="39">
        <v>20</v>
      </c>
      <c r="E559" s="42">
        <v>300</v>
      </c>
      <c r="F559" s="43">
        <f t="shared" ca="1" si="23"/>
        <v>6000</v>
      </c>
    </row>
    <row r="560" spans="1:6" x14ac:dyDescent="0.25">
      <c r="A560" s="39" t="s">
        <v>83</v>
      </c>
      <c r="B560" s="40" t="str">
        <f ca="1">IFERROR(INDEX(UNSPSCDes,MATCH(INDIRECT(ADDRESS(ROW(),COLUMN()-1,4)),UNSPSCCode,0)),IF(INDIRECT(ADDRESS(ROW(),COLUMN()-1,4))="50101538","Verduras frescas",""))</f>
        <v>Verduras frescas</v>
      </c>
      <c r="C560" s="41" t="str">
        <f>IFERROR(VLOOKUP("UD",'[1]Informacion '!P:Q,2,FALSE),"")</f>
        <v>Unidad</v>
      </c>
      <c r="D560" s="39">
        <v>60</v>
      </c>
      <c r="E560" s="42">
        <v>80</v>
      </c>
      <c r="F560" s="43">
        <f t="shared" ca="1" si="23"/>
        <v>4800</v>
      </c>
    </row>
    <row r="561" spans="1:6" x14ac:dyDescent="0.25">
      <c r="A561" s="39" t="s">
        <v>85</v>
      </c>
      <c r="B561" s="40" t="str">
        <f ca="1">IFERROR(INDEX(UNSPSCDes,MATCH(INDIRECT(ADDRESS(ROW(),COLUMN()-1,4)),UNSPSCCode,0)),IF(INDIRECT(ADDRESS(ROW(),COLUMN()-1,4))="50101634","Fruta fresca",""))</f>
        <v>Fruta fresca</v>
      </c>
      <c r="C561" s="41" t="str">
        <f>IFERROR(VLOOKUP("UD",'[1]Informacion '!P:Q,2,FALSE),"")</f>
        <v>Unidad</v>
      </c>
      <c r="D561" s="39">
        <v>300</v>
      </c>
      <c r="E561" s="42">
        <v>10</v>
      </c>
      <c r="F561" s="43">
        <f t="shared" ca="1" si="23"/>
        <v>3000</v>
      </c>
    </row>
    <row r="562" spans="1:6" x14ac:dyDescent="0.25">
      <c r="A562" s="39" t="s">
        <v>83</v>
      </c>
      <c r="B562" s="40" t="str">
        <f t="shared" ref="B562:B570" ca="1" si="24">IFERROR(INDEX(UNSPSCDes,MATCH(INDIRECT(ADDRESS(ROW(),COLUMN()-1,4)),UNSPSCCode,0)),IF(INDIRECT(ADDRESS(ROW(),COLUMN()-1,4))="50101538","Verduras frescas",""))</f>
        <v>Verduras frescas</v>
      </c>
      <c r="C562" s="41" t="str">
        <f>IFERROR(VLOOKUP("LB",'[1]Informacion '!P:Q,2,FALSE),"")</f>
        <v>Libra </v>
      </c>
      <c r="D562" s="39">
        <v>300</v>
      </c>
      <c r="E562" s="42">
        <v>30</v>
      </c>
      <c r="F562" s="43">
        <f t="shared" ca="1" si="23"/>
        <v>9000</v>
      </c>
    </row>
    <row r="563" spans="1:6" x14ac:dyDescent="0.25">
      <c r="A563" s="39" t="s">
        <v>83</v>
      </c>
      <c r="B563" s="40" t="str">
        <f t="shared" ca="1" si="24"/>
        <v>Verduras frescas</v>
      </c>
      <c r="C563" s="41" t="str">
        <f>IFERROR(VLOOKUP("LB",'[1]Informacion '!P:Q,2,FALSE),"")</f>
        <v>Libra </v>
      </c>
      <c r="D563" s="39">
        <v>50</v>
      </c>
      <c r="E563" s="42">
        <v>30</v>
      </c>
      <c r="F563" s="43">
        <f t="shared" ca="1" si="23"/>
        <v>1500</v>
      </c>
    </row>
    <row r="564" spans="1:6" x14ac:dyDescent="0.25">
      <c r="A564" s="39" t="s">
        <v>83</v>
      </c>
      <c r="B564" s="40" t="str">
        <f t="shared" ca="1" si="24"/>
        <v>Verduras frescas</v>
      </c>
      <c r="C564" s="41" t="str">
        <f>IFERROR(VLOOKUP("LB",'[1]Informacion '!P:Q,2,FALSE),"")</f>
        <v>Libra </v>
      </c>
      <c r="D564" s="39">
        <v>250</v>
      </c>
      <c r="E564" s="42">
        <v>25</v>
      </c>
      <c r="F564" s="43">
        <f t="shared" ca="1" si="23"/>
        <v>6250</v>
      </c>
    </row>
    <row r="565" spans="1:6" x14ac:dyDescent="0.25">
      <c r="A565" s="39" t="s">
        <v>83</v>
      </c>
      <c r="B565" s="40" t="str">
        <f t="shared" ca="1" si="24"/>
        <v>Verduras frescas</v>
      </c>
      <c r="C565" s="41" t="str">
        <f>IFERROR(VLOOKUP("LB",'[1]Informacion '!P:Q,2,FALSE),"")</f>
        <v>Libra </v>
      </c>
      <c r="D565" s="39">
        <v>750</v>
      </c>
      <c r="E565" s="42">
        <v>15</v>
      </c>
      <c r="F565" s="43">
        <f t="shared" ca="1" si="23"/>
        <v>11250</v>
      </c>
    </row>
    <row r="566" spans="1:6" x14ac:dyDescent="0.25">
      <c r="A566" s="39" t="s">
        <v>83</v>
      </c>
      <c r="B566" s="40" t="str">
        <f t="shared" ca="1" si="24"/>
        <v>Verduras frescas</v>
      </c>
      <c r="C566" s="41" t="str">
        <f>IFERROR(VLOOKUP("LB",'[1]Informacion '!P:Q,2,FALSE),"")</f>
        <v>Libra </v>
      </c>
      <c r="D566" s="39">
        <v>40</v>
      </c>
      <c r="E566" s="42">
        <v>40</v>
      </c>
      <c r="F566" s="43">
        <f t="shared" ca="1" si="23"/>
        <v>1600</v>
      </c>
    </row>
    <row r="567" spans="1:6" x14ac:dyDescent="0.25">
      <c r="A567" s="39" t="s">
        <v>83</v>
      </c>
      <c r="B567" s="40" t="str">
        <f t="shared" ca="1" si="24"/>
        <v>Verduras frescas</v>
      </c>
      <c r="C567" s="41" t="str">
        <f>IFERROR(VLOOKUP("LB",'[1]Informacion '!P:Q,2,FALSE),"")</f>
        <v>Libra </v>
      </c>
      <c r="D567" s="39">
        <v>300</v>
      </c>
      <c r="E567" s="42">
        <v>35</v>
      </c>
      <c r="F567" s="43">
        <f t="shared" ca="1" si="23"/>
        <v>10500</v>
      </c>
    </row>
    <row r="568" spans="1:6" x14ac:dyDescent="0.25">
      <c r="A568" s="39" t="s">
        <v>83</v>
      </c>
      <c r="B568" s="40" t="str">
        <f t="shared" ca="1" si="24"/>
        <v>Verduras frescas</v>
      </c>
      <c r="C568" s="41" t="str">
        <f>IFERROR(VLOOKUP("LB",'[1]Informacion '!P:Q,2,FALSE),"")</f>
        <v>Libra </v>
      </c>
      <c r="D568" s="39">
        <v>300</v>
      </c>
      <c r="E568" s="42">
        <v>18</v>
      </c>
      <c r="F568" s="43">
        <f t="shared" ca="1" si="23"/>
        <v>5400</v>
      </c>
    </row>
    <row r="569" spans="1:6" x14ac:dyDescent="0.25">
      <c r="A569" s="39" t="s">
        <v>83</v>
      </c>
      <c r="B569" s="40" t="str">
        <f t="shared" ca="1" si="24"/>
        <v>Verduras frescas</v>
      </c>
      <c r="C569" s="41" t="str">
        <f>IFERROR(VLOOKUP("LB",'[1]Informacion '!P:Q,2,FALSE),"")</f>
        <v>Libra </v>
      </c>
      <c r="D569" s="39">
        <v>125</v>
      </c>
      <c r="E569" s="42">
        <v>85</v>
      </c>
      <c r="F569" s="43">
        <f t="shared" ca="1" si="23"/>
        <v>10625</v>
      </c>
    </row>
    <row r="570" spans="1:6" x14ac:dyDescent="0.25">
      <c r="A570" s="39" t="s">
        <v>83</v>
      </c>
      <c r="B570" s="40" t="str">
        <f t="shared" ca="1" si="24"/>
        <v>Verduras frescas</v>
      </c>
      <c r="C570" s="41" t="str">
        <f>IFERROR(VLOOKUP("LB",'[1]Informacion '!P:Q,2,FALSE),"")</f>
        <v>Libra </v>
      </c>
      <c r="D570" s="39">
        <v>500</v>
      </c>
      <c r="E570" s="42">
        <v>45</v>
      </c>
      <c r="F570" s="43">
        <f t="shared" ca="1" si="23"/>
        <v>22500</v>
      </c>
    </row>
    <row r="571" spans="1:6" x14ac:dyDescent="0.25">
      <c r="A571" s="39" t="s">
        <v>86</v>
      </c>
      <c r="B571" s="40" t="str">
        <f ca="1">IFERROR(INDEX(UNSPSCDes,MATCH(INDIRECT(ADDRESS(ROW(),COLUMN()-1,4)),UNSPSCCode,0)),IF(INDIRECT(ADDRESS(ROW(),COLUMN()-1,4))="50131606","Huevos frescos",""))</f>
        <v>Huevos frescos</v>
      </c>
      <c r="C571" s="41" t="str">
        <f>IFERROR(VLOOKUP("UD",'[1]Informacion '!P:Q,2,FALSE),"")</f>
        <v>Unidad</v>
      </c>
      <c r="D571" s="39">
        <v>6000</v>
      </c>
      <c r="E571" s="42">
        <v>6.5</v>
      </c>
      <c r="F571" s="43">
        <f t="shared" ca="1" si="23"/>
        <v>39000</v>
      </c>
    </row>
    <row r="572" spans="1:6" x14ac:dyDescent="0.25">
      <c r="A572" s="39" t="s">
        <v>85</v>
      </c>
      <c r="B572" s="40" t="str">
        <f ca="1">IFERROR(INDEX(UNSPSCDes,MATCH(INDIRECT(ADDRESS(ROW(),COLUMN()-1,4)),UNSPSCCode,0)),IF(INDIRECT(ADDRESS(ROW(),COLUMN()-1,4))="50101634","Fruta fresca",""))</f>
        <v>Fruta fresca</v>
      </c>
      <c r="C572" s="41" t="str">
        <f>IFERROR(VLOOKUP("UD",'[1]Informacion '!P:Q,2,FALSE),"")</f>
        <v>Unidad</v>
      </c>
      <c r="D572" s="39">
        <v>40</v>
      </c>
      <c r="E572" s="42">
        <v>200</v>
      </c>
      <c r="F572" s="43">
        <f t="shared" ca="1" si="23"/>
        <v>8000</v>
      </c>
    </row>
    <row r="573" spans="1:6" x14ac:dyDescent="0.25">
      <c r="A573" s="39" t="s">
        <v>83</v>
      </c>
      <c r="B573" s="40" t="str">
        <f ca="1">IFERROR(INDEX(UNSPSCDes,MATCH(INDIRECT(ADDRESS(ROW(),COLUMN()-1,4)),UNSPSCCode,0)),IF(INDIRECT(ADDRESS(ROW(),COLUMN()-1,4))="50101538","Verduras frescas",""))</f>
        <v>Verduras frescas</v>
      </c>
      <c r="C573" s="41" t="str">
        <f>IFERROR(VLOOKUP("LB",'[1]Informacion '!P:Q,2,FALSE),"")</f>
        <v>Libra </v>
      </c>
      <c r="D573" s="39">
        <v>80</v>
      </c>
      <c r="E573" s="42">
        <v>45</v>
      </c>
      <c r="F573" s="43">
        <f t="shared" ca="1" si="23"/>
        <v>3600</v>
      </c>
    </row>
    <row r="574" spans="1:6" x14ac:dyDescent="0.25">
      <c r="A574" s="39" t="s">
        <v>85</v>
      </c>
      <c r="B574" s="40" t="str">
        <f ca="1">IFERROR(INDEX(UNSPSCDes,MATCH(INDIRECT(ADDRESS(ROW(),COLUMN()-1,4)),UNSPSCCode,0)),IF(INDIRECT(ADDRESS(ROW(),COLUMN()-1,4))="50101634","Fruta fresca",""))</f>
        <v>Fruta fresca</v>
      </c>
      <c r="C574" s="41" t="str">
        <f>IFERROR(VLOOKUP("UD",'[1]Informacion '!P:Q,2,FALSE),"")</f>
        <v>Unidad</v>
      </c>
      <c r="D574" s="39">
        <v>40</v>
      </c>
      <c r="E574" s="42">
        <v>65</v>
      </c>
      <c r="F574" s="43">
        <f t="shared" ca="1" si="23"/>
        <v>2600</v>
      </c>
    </row>
    <row r="575" spans="1:6" x14ac:dyDescent="0.25">
      <c r="A575" s="39" t="s">
        <v>85</v>
      </c>
      <c r="B575" s="40" t="str">
        <f ca="1">IFERROR(INDEX(UNSPSCDes,MATCH(INDIRECT(ADDRESS(ROW(),COLUMN()-1,4)),UNSPSCCode,0)),IF(INDIRECT(ADDRESS(ROW(),COLUMN()-1,4))="50101634","Fruta fresca",""))</f>
        <v>Fruta fresca</v>
      </c>
      <c r="C575" s="41" t="str">
        <f>IFERROR(VLOOKUP("UD",'[1]Informacion '!P:Q,2,FALSE),"")</f>
        <v>Unidad</v>
      </c>
      <c r="D575" s="39">
        <v>500</v>
      </c>
      <c r="E575" s="42">
        <v>12</v>
      </c>
      <c r="F575" s="43">
        <f t="shared" ca="1" si="23"/>
        <v>6000</v>
      </c>
    </row>
    <row r="576" spans="1:6" x14ac:dyDescent="0.25">
      <c r="A576" s="39" t="s">
        <v>85</v>
      </c>
      <c r="B576" s="40" t="str">
        <f ca="1">IFERROR(INDEX(UNSPSCDes,MATCH(INDIRECT(ADDRESS(ROW(),COLUMN()-1,4)),UNSPSCCode,0)),IF(INDIRECT(ADDRESS(ROW(),COLUMN()-1,4))="50101634","Fruta fresca",""))</f>
        <v>Fruta fresca</v>
      </c>
      <c r="C576" s="41" t="str">
        <f>IFERROR(VLOOKUP("UD",'[1]Informacion '!P:Q,2,FALSE),"")</f>
        <v>Unidad</v>
      </c>
      <c r="D576" s="39">
        <v>40</v>
      </c>
      <c r="E576" s="42">
        <v>60</v>
      </c>
      <c r="F576" s="43">
        <f t="shared" ca="1" si="23"/>
        <v>2400</v>
      </c>
    </row>
    <row r="577" spans="1:6" x14ac:dyDescent="0.25">
      <c r="A577" s="39" t="s">
        <v>85</v>
      </c>
      <c r="B577" s="40" t="str">
        <f ca="1">IFERROR(INDEX(UNSPSCDes,MATCH(INDIRECT(ADDRESS(ROW(),COLUMN()-1,4)),UNSPSCCode,0)),IF(INDIRECT(ADDRESS(ROW(),COLUMN()-1,4))="50101634","Fruta fresca",""))</f>
        <v>Fruta fresca</v>
      </c>
      <c r="C577" s="41" t="str">
        <f>IFERROR(VLOOKUP("UD",'[1]Informacion '!P:Q,2,FALSE),"")</f>
        <v>Unidad</v>
      </c>
      <c r="D577" s="39">
        <v>40</v>
      </c>
      <c r="E577" s="42">
        <v>60</v>
      </c>
      <c r="F577" s="43">
        <f t="shared" ca="1" si="23"/>
        <v>2400</v>
      </c>
    </row>
    <row r="578" spans="1:6" x14ac:dyDescent="0.25">
      <c r="A578" s="39" t="s">
        <v>85</v>
      </c>
      <c r="B578" s="40" t="str">
        <f ca="1">IFERROR(INDEX(UNSPSCDes,MATCH(INDIRECT(ADDRESS(ROW(),COLUMN()-1,4)),UNSPSCCode,0)),IF(INDIRECT(ADDRESS(ROW(),COLUMN()-1,4))="50101634","Fruta fresca",""))</f>
        <v>Fruta fresca</v>
      </c>
      <c r="C578" s="41" t="str">
        <f>IFERROR(VLOOKUP("UD",'[1]Informacion '!P:Q,2,FALSE),"")</f>
        <v>Unidad</v>
      </c>
      <c r="D578" s="39">
        <v>2000</v>
      </c>
      <c r="E578" s="42">
        <v>7</v>
      </c>
      <c r="F578" s="43">
        <f t="shared" ca="1" si="23"/>
        <v>14000</v>
      </c>
    </row>
    <row r="579" spans="1:6" x14ac:dyDescent="0.25">
      <c r="A579" s="39" t="s">
        <v>83</v>
      </c>
      <c r="B579" s="40" t="str">
        <f t="shared" ref="B579:B589" ca="1" si="25">IFERROR(INDEX(UNSPSCDes,MATCH(INDIRECT(ADDRESS(ROW(),COLUMN()-1,4)),UNSPSCCode,0)),IF(INDIRECT(ADDRESS(ROW(),COLUMN()-1,4))="50101538","Verduras frescas",""))</f>
        <v>Verduras frescas</v>
      </c>
      <c r="C579" s="41" t="str">
        <f>IFERROR(VLOOKUP("UD",'[1]Informacion '!P:Q,2,FALSE),"")</f>
        <v>Unidad</v>
      </c>
      <c r="D579" s="39">
        <v>500</v>
      </c>
      <c r="E579" s="42">
        <v>16</v>
      </c>
      <c r="F579" s="43">
        <f t="shared" ca="1" si="23"/>
        <v>8000</v>
      </c>
    </row>
    <row r="580" spans="1:6" x14ac:dyDescent="0.25">
      <c r="A580" s="39" t="s">
        <v>83</v>
      </c>
      <c r="B580" s="40" t="str">
        <f t="shared" ca="1" si="25"/>
        <v>Verduras frescas</v>
      </c>
      <c r="C580" s="41" t="str">
        <f>IFERROR(VLOOKUP("UD",'[1]Informacion '!P:Q,2,FALSE),"")</f>
        <v>Unidad</v>
      </c>
      <c r="D580" s="39">
        <v>15000</v>
      </c>
      <c r="E580" s="42">
        <v>7</v>
      </c>
      <c r="F580" s="43">
        <f t="shared" ca="1" si="23"/>
        <v>105000</v>
      </c>
    </row>
    <row r="581" spans="1:6" x14ac:dyDescent="0.25">
      <c r="A581" s="39" t="s">
        <v>83</v>
      </c>
      <c r="B581" s="40" t="str">
        <f t="shared" ca="1" si="25"/>
        <v>Verduras frescas</v>
      </c>
      <c r="C581" s="41" t="str">
        <f>IFERROR(VLOOKUP("UD",'[1]Informacion '!P:Q,2,FALSE),"")</f>
        <v>Unidad</v>
      </c>
      <c r="D581" s="39">
        <v>2000</v>
      </c>
      <c r="E581" s="42">
        <v>16</v>
      </c>
      <c r="F581" s="43">
        <f t="shared" ca="1" si="23"/>
        <v>32000</v>
      </c>
    </row>
    <row r="582" spans="1:6" x14ac:dyDescent="0.25">
      <c r="A582" s="39" t="s">
        <v>83</v>
      </c>
      <c r="B582" s="40" t="str">
        <f t="shared" ca="1" si="25"/>
        <v>Verduras frescas</v>
      </c>
      <c r="C582" s="41" t="str">
        <f>IFERROR(VLOOKUP("LB",'[1]Informacion '!P:Q,2,FALSE),"")</f>
        <v>Libra </v>
      </c>
      <c r="D582" s="39">
        <v>1200</v>
      </c>
      <c r="E582" s="42">
        <v>55</v>
      </c>
      <c r="F582" s="43">
        <f t="shared" ca="1" si="23"/>
        <v>66000</v>
      </c>
    </row>
    <row r="583" spans="1:6" x14ac:dyDescent="0.25">
      <c r="A583" s="39" t="s">
        <v>83</v>
      </c>
      <c r="B583" s="40" t="str">
        <f t="shared" ca="1" si="25"/>
        <v>Verduras frescas</v>
      </c>
      <c r="C583" s="41" t="str">
        <f>IFERROR(VLOOKUP("LB",'[1]Informacion '!P:Q,2,FALSE),"")</f>
        <v>Libra </v>
      </c>
      <c r="D583" s="39">
        <v>1200</v>
      </c>
      <c r="E583" s="42">
        <v>50</v>
      </c>
      <c r="F583" s="43">
        <f t="shared" ca="1" si="23"/>
        <v>60000</v>
      </c>
    </row>
    <row r="584" spans="1:6" x14ac:dyDescent="0.25">
      <c r="A584" s="39" t="s">
        <v>83</v>
      </c>
      <c r="B584" s="40" t="str">
        <f t="shared" ca="1" si="25"/>
        <v>Verduras frescas</v>
      </c>
      <c r="C584" s="41" t="str">
        <f>IFERROR(VLOOKUP("LB",'[1]Informacion '!P:Q,2,FALSE),"")</f>
        <v>Libra </v>
      </c>
      <c r="D584" s="39">
        <v>300</v>
      </c>
      <c r="E584" s="42">
        <v>25</v>
      </c>
      <c r="F584" s="43">
        <f t="shared" ca="1" si="23"/>
        <v>7500</v>
      </c>
    </row>
    <row r="585" spans="1:6" x14ac:dyDescent="0.25">
      <c r="A585" s="39" t="s">
        <v>83</v>
      </c>
      <c r="B585" s="40" t="str">
        <f t="shared" ca="1" si="25"/>
        <v>Verduras frescas</v>
      </c>
      <c r="C585" s="41" t="str">
        <f>IFERROR(VLOOKUP("LB",'[1]Informacion '!P:Q,2,FALSE),"")</f>
        <v>Libra </v>
      </c>
      <c r="D585" s="39">
        <v>300</v>
      </c>
      <c r="E585" s="42">
        <v>25</v>
      </c>
      <c r="F585" s="43">
        <f t="shared" ca="1" si="23"/>
        <v>7500</v>
      </c>
    </row>
    <row r="586" spans="1:6" x14ac:dyDescent="0.25">
      <c r="A586" s="39" t="s">
        <v>83</v>
      </c>
      <c r="B586" s="40" t="str">
        <f t="shared" ca="1" si="25"/>
        <v>Verduras frescas</v>
      </c>
      <c r="C586" s="41" t="str">
        <f>IFERROR(VLOOKUP("LB",'[1]Informacion '!P:Q,2,FALSE),"")</f>
        <v>Libra </v>
      </c>
      <c r="D586" s="39">
        <v>150</v>
      </c>
      <c r="E586" s="42">
        <v>25</v>
      </c>
      <c r="F586" s="43">
        <f t="shared" ca="1" si="23"/>
        <v>3750</v>
      </c>
    </row>
    <row r="587" spans="1:6" x14ac:dyDescent="0.25">
      <c r="A587" s="39" t="s">
        <v>83</v>
      </c>
      <c r="B587" s="40" t="str">
        <f t="shared" ca="1" si="25"/>
        <v>Verduras frescas</v>
      </c>
      <c r="C587" s="41" t="str">
        <f>IFERROR(VLOOKUP("LB",'[1]Informacion '!P:Q,2,FALSE),"")</f>
        <v>Libra </v>
      </c>
      <c r="D587" s="39">
        <v>40</v>
      </c>
      <c r="E587" s="42">
        <v>50</v>
      </c>
      <c r="F587" s="43">
        <f t="shared" ca="1" si="23"/>
        <v>2000</v>
      </c>
    </row>
    <row r="588" spans="1:6" x14ac:dyDescent="0.25">
      <c r="A588" s="39" t="s">
        <v>83</v>
      </c>
      <c r="B588" s="40" t="str">
        <f t="shared" ca="1" si="25"/>
        <v>Verduras frescas</v>
      </c>
      <c r="C588" s="41" t="str">
        <f>IFERROR(VLOOKUP("LB",'[1]Informacion '!P:Q,2,FALSE),"")</f>
        <v>Libra </v>
      </c>
      <c r="D588" s="39">
        <v>800</v>
      </c>
      <c r="E588" s="42">
        <v>50</v>
      </c>
      <c r="F588" s="43">
        <f t="shared" ca="1" si="23"/>
        <v>40000</v>
      </c>
    </row>
    <row r="589" spans="1:6" x14ac:dyDescent="0.25">
      <c r="A589" s="39" t="s">
        <v>83</v>
      </c>
      <c r="B589" s="40" t="str">
        <f t="shared" ca="1" si="25"/>
        <v>Verduras frescas</v>
      </c>
      <c r="C589" s="41" t="str">
        <f>IFERROR(VLOOKUP("LB",'[1]Informacion '!P:Q,2,FALSE),"")</f>
        <v>Libra </v>
      </c>
      <c r="D589" s="39">
        <v>150</v>
      </c>
      <c r="E589" s="42">
        <v>55</v>
      </c>
      <c r="F589" s="43">
        <f t="shared" ca="1" si="23"/>
        <v>8250</v>
      </c>
    </row>
    <row r="590" spans="1:6" ht="22.5" x14ac:dyDescent="0.25">
      <c r="A590" s="39" t="s">
        <v>87</v>
      </c>
      <c r="B590" s="40" t="str">
        <f ca="1">IFERROR(INDEX(UNSPSCDes,MATCH(INDIRECT(ADDRESS(ROW(),COLUMN()-1,4)),UNSPSCCode,0)),IF(INDIRECT(ADDRESS(ROW(),COLUMN()-1,4))="50171550","Especies o extractos",""))</f>
        <v>Especies o extractos</v>
      </c>
      <c r="C590" s="41" t="str">
        <f>IFERROR(VLOOKUP("LB",'[1]Informacion '!P:Q,2,FALSE),"")</f>
        <v>Libra </v>
      </c>
      <c r="D590" s="39">
        <v>20</v>
      </c>
      <c r="E590" s="42">
        <v>250</v>
      </c>
      <c r="F590" s="43">
        <f t="shared" ca="1" si="23"/>
        <v>5000</v>
      </c>
    </row>
    <row r="591" spans="1:6" ht="22.5" x14ac:dyDescent="0.25">
      <c r="A591" s="39" t="s">
        <v>87</v>
      </c>
      <c r="B591" s="40" t="str">
        <f ca="1">IFERROR(INDEX(UNSPSCDes,MATCH(INDIRECT(ADDRESS(ROW(),COLUMN()-1,4)),UNSPSCCode,0)),IF(INDIRECT(ADDRESS(ROW(),COLUMN()-1,4))="50171550","Especies o extractos",""))</f>
        <v>Especies o extractos</v>
      </c>
      <c r="C591" s="41" t="str">
        <f>IFERROR(VLOOKUP("LB",'[1]Informacion '!P:Q,2,FALSE),"")</f>
        <v>Libra </v>
      </c>
      <c r="D591" s="39">
        <v>10</v>
      </c>
      <c r="E591" s="42">
        <v>250</v>
      </c>
      <c r="F591" s="43">
        <f t="shared" ca="1" si="23"/>
        <v>2500</v>
      </c>
    </row>
    <row r="592" spans="1:6" x14ac:dyDescent="0.25">
      <c r="A592" s="39" t="s">
        <v>83</v>
      </c>
      <c r="B592" s="40" t="str">
        <f ca="1">IFERROR(INDEX(UNSPSCDes,MATCH(INDIRECT(ADDRESS(ROW(),COLUMN()-1,4)),UNSPSCCode,0)),IF(INDIRECT(ADDRESS(ROW(),COLUMN()-1,4))="50101538","Verduras frescas",""))</f>
        <v>Verduras frescas</v>
      </c>
      <c r="C592" s="41" t="str">
        <f>IFERROR(VLOOKUP("LB",'[1]Informacion '!P:Q,2,FALSE),"")</f>
        <v>Libra </v>
      </c>
      <c r="D592" s="39">
        <v>10</v>
      </c>
      <c r="E592" s="42">
        <v>200</v>
      </c>
      <c r="F592" s="43">
        <f t="shared" ca="1" si="23"/>
        <v>2000</v>
      </c>
    </row>
    <row r="593" spans="1:6" x14ac:dyDescent="0.25">
      <c r="A593" s="39" t="s">
        <v>83</v>
      </c>
      <c r="B593" s="40" t="str">
        <f ca="1">IFERROR(INDEX(UNSPSCDes,MATCH(INDIRECT(ADDRESS(ROW(),COLUMN()-1,4)),UNSPSCCode,0)),IF(INDIRECT(ADDRESS(ROW(),COLUMN()-1,4))="50101538","Verduras frescas",""))</f>
        <v>Verduras frescas</v>
      </c>
      <c r="C593" s="41" t="str">
        <f>IFERROR(VLOOKUP("LB",'[1]Informacion '!P:Q,2,FALSE),"")</f>
        <v>Libra </v>
      </c>
      <c r="D593" s="39">
        <v>20</v>
      </c>
      <c r="E593" s="42">
        <v>45</v>
      </c>
      <c r="F593" s="43">
        <f t="shared" ca="1" si="23"/>
        <v>900</v>
      </c>
    </row>
    <row r="594" spans="1:6" x14ac:dyDescent="0.25">
      <c r="A594" s="46"/>
      <c r="B594" s="46"/>
      <c r="C594" s="46"/>
      <c r="D594" s="46"/>
      <c r="E594" s="44" t="s">
        <v>46</v>
      </c>
      <c r="F594" s="45">
        <f ca="1">SUM(Table16[MONTO TOTAL ESTIMADO])</f>
        <v>579425</v>
      </c>
    </row>
    <row r="595" spans="1:6" ht="15.75" thickBot="1" x14ac:dyDescent="0.3">
      <c r="A595" s="46"/>
      <c r="B595" s="46"/>
      <c r="C595" s="46"/>
      <c r="D595" s="46"/>
      <c r="E595" s="46"/>
      <c r="F595" s="46"/>
    </row>
    <row r="596" spans="1:6" ht="34.5" thickBot="1" x14ac:dyDescent="0.3">
      <c r="A596" s="29" t="s">
        <v>18</v>
      </c>
      <c r="B596" s="29" t="s">
        <v>19</v>
      </c>
      <c r="C596" s="29" t="s">
        <v>20</v>
      </c>
      <c r="D596" s="29" t="s">
        <v>21</v>
      </c>
      <c r="E596" s="29" t="s">
        <v>22</v>
      </c>
      <c r="F596" s="29" t="s">
        <v>23</v>
      </c>
    </row>
    <row r="597" spans="1:6" ht="15.75" thickBot="1" x14ac:dyDescent="0.3">
      <c r="A597" s="30" t="s">
        <v>24</v>
      </c>
      <c r="B597" s="30" t="s">
        <v>82</v>
      </c>
      <c r="C597" s="30" t="s">
        <v>26</v>
      </c>
      <c r="D597" s="30" t="s">
        <v>27</v>
      </c>
      <c r="E597" s="30" t="s">
        <v>28</v>
      </c>
      <c r="F597" s="30" t="s">
        <v>17</v>
      </c>
    </row>
    <row r="598" spans="1:6" ht="15.75" thickBot="1" x14ac:dyDescent="0.3">
      <c r="A598" s="31" t="s">
        <v>29</v>
      </c>
      <c r="B598" s="32" t="s">
        <v>30</v>
      </c>
      <c r="C598" s="33">
        <v>46267</v>
      </c>
      <c r="D598" s="31" t="s">
        <v>31</v>
      </c>
      <c r="E598" s="34" t="s">
        <v>32</v>
      </c>
      <c r="F598" s="35" t="s">
        <v>33</v>
      </c>
    </row>
    <row r="599" spans="1:6" ht="15.75" thickBot="1" x14ac:dyDescent="0.3">
      <c r="A599" s="36"/>
      <c r="B599" s="32" t="s">
        <v>34</v>
      </c>
      <c r="C599" s="37">
        <f>IF(C598="","",IF(AND(MONTH(C598)&gt;=1,MONTH(C598)&lt;=3),1,IF(AND(MONTH(C598)&gt;=4,MONTH(C598)&lt;=6),2,IF(AND(MONTH(C598)&gt;=7,MONTH(C598)&lt;=9),3,4))))</f>
        <v>3</v>
      </c>
      <c r="D599" s="36"/>
      <c r="E599" s="34" t="s">
        <v>35</v>
      </c>
      <c r="F599" s="35"/>
    </row>
    <row r="600" spans="1:6" ht="15.75" thickBot="1" x14ac:dyDescent="0.3">
      <c r="A600" s="36"/>
      <c r="B600" s="32" t="s">
        <v>36</v>
      </c>
      <c r="C600" s="33">
        <v>46270</v>
      </c>
      <c r="D600" s="36"/>
      <c r="E600" s="34" t="s">
        <v>37</v>
      </c>
      <c r="F600" s="35"/>
    </row>
    <row r="601" spans="1:6" ht="15.75" thickBot="1" x14ac:dyDescent="0.3">
      <c r="A601" s="36"/>
      <c r="B601" s="32" t="s">
        <v>34</v>
      </c>
      <c r="C601" s="37">
        <f>IF(C600="","",IF(AND(MONTH(C600)&gt;=1,MONTH(C600)&lt;=3),1,IF(AND(MONTH(C600)&gt;=4,MONTH(C600)&lt;=6),2,IF(AND(MONTH(C600)&gt;=7,MONTH(C600)&lt;=9),3,4))))</f>
        <v>3</v>
      </c>
      <c r="D601" s="36"/>
      <c r="E601" s="34" t="s">
        <v>38</v>
      </c>
      <c r="F601" s="35"/>
    </row>
    <row r="602" spans="1:6" ht="15.75" thickBot="1" x14ac:dyDescent="0.3">
      <c r="A602" s="46"/>
      <c r="B602" s="46"/>
      <c r="C602" s="46"/>
      <c r="D602" s="46"/>
      <c r="E602" s="46"/>
      <c r="F602" s="46"/>
    </row>
    <row r="603" spans="1:6" ht="15.75" thickBot="1" x14ac:dyDescent="0.3">
      <c r="A603" s="38" t="s">
        <v>39</v>
      </c>
      <c r="B603" s="38" t="s">
        <v>40</v>
      </c>
      <c r="C603" s="38" t="s">
        <v>41</v>
      </c>
      <c r="D603" s="38" t="s">
        <v>42</v>
      </c>
      <c r="E603" s="38" t="s">
        <v>43</v>
      </c>
      <c r="F603" s="38" t="s">
        <v>44</v>
      </c>
    </row>
    <row r="604" spans="1:6" x14ac:dyDescent="0.25">
      <c r="A604" s="39" t="s">
        <v>83</v>
      </c>
      <c r="B604" s="40" t="str">
        <f t="shared" ref="B604:B612" ca="1" si="26">IFERROR(INDEX(UNSPSCDes,MATCH(INDIRECT(ADDRESS(ROW(),COLUMN()-1,4)),UNSPSCCode,0)),IF(INDIRECT(ADDRESS(ROW(),COLUMN()-1,4))="50101538","Verduras frescas",""))</f>
        <v>Verduras frescas</v>
      </c>
      <c r="C604" s="41" t="str">
        <f>IFERROR(VLOOKUP("LB",'[1]Informacion '!P:Q,2,FALSE),"")</f>
        <v>Libra </v>
      </c>
      <c r="D604" s="39">
        <v>800</v>
      </c>
      <c r="E604" s="42">
        <v>20</v>
      </c>
      <c r="F604" s="43">
        <f t="shared" ref="F604:F647" ca="1" si="27">INDIRECT(ADDRESS(ROW(),COLUMN()-2,4))*INDIRECT(ADDRESS(ROW(),COLUMN()-1,4))</f>
        <v>16000</v>
      </c>
    </row>
    <row r="605" spans="1:6" x14ac:dyDescent="0.25">
      <c r="A605" s="39" t="s">
        <v>83</v>
      </c>
      <c r="B605" s="40" t="str">
        <f t="shared" ca="1" si="26"/>
        <v>Verduras frescas</v>
      </c>
      <c r="C605" s="41" t="str">
        <f>IFERROR(VLOOKUP("PAQ",'[1]Informacion '!P:Q,2,FALSE),"")</f>
        <v>Paquete</v>
      </c>
      <c r="D605" s="39">
        <v>40</v>
      </c>
      <c r="E605" s="42">
        <v>60</v>
      </c>
      <c r="F605" s="43">
        <f t="shared" ca="1" si="27"/>
        <v>2400</v>
      </c>
    </row>
    <row r="606" spans="1:6" x14ac:dyDescent="0.25">
      <c r="A606" s="39" t="s">
        <v>83</v>
      </c>
      <c r="B606" s="40" t="str">
        <f t="shared" ca="1" si="26"/>
        <v>Verduras frescas</v>
      </c>
      <c r="C606" s="41" t="str">
        <f>IFERROR(VLOOKUP("LB",'[1]Informacion '!P:Q,2,FALSE),"")</f>
        <v>Libra </v>
      </c>
      <c r="D606" s="39">
        <v>750</v>
      </c>
      <c r="E606" s="42">
        <v>28</v>
      </c>
      <c r="F606" s="43">
        <f t="shared" ca="1" si="27"/>
        <v>21000</v>
      </c>
    </row>
    <row r="607" spans="1:6" x14ac:dyDescent="0.25">
      <c r="A607" s="39" t="s">
        <v>83</v>
      </c>
      <c r="B607" s="40" t="str">
        <f t="shared" ca="1" si="26"/>
        <v>Verduras frescas</v>
      </c>
      <c r="C607" s="41" t="str">
        <f>IFERROR(VLOOKUP("LB",'[1]Informacion '!P:Q,2,FALSE),"")</f>
        <v>Libra </v>
      </c>
      <c r="D607" s="39">
        <v>10</v>
      </c>
      <c r="E607" s="42">
        <v>50</v>
      </c>
      <c r="F607" s="43">
        <f t="shared" ca="1" si="27"/>
        <v>500</v>
      </c>
    </row>
    <row r="608" spans="1:6" x14ac:dyDescent="0.25">
      <c r="A608" s="39" t="s">
        <v>83</v>
      </c>
      <c r="B608" s="40" t="str">
        <f t="shared" ca="1" si="26"/>
        <v>Verduras frescas</v>
      </c>
      <c r="C608" s="41" t="str">
        <f>IFERROR(VLOOKUP("LB",'[1]Informacion '!P:Q,2,FALSE),"")</f>
        <v>Libra </v>
      </c>
      <c r="D608" s="39">
        <v>10</v>
      </c>
      <c r="E608" s="42">
        <v>50</v>
      </c>
      <c r="F608" s="43">
        <f t="shared" ca="1" si="27"/>
        <v>500</v>
      </c>
    </row>
    <row r="609" spans="1:6" x14ac:dyDescent="0.25">
      <c r="A609" s="39" t="s">
        <v>83</v>
      </c>
      <c r="B609" s="40" t="str">
        <f t="shared" ca="1" si="26"/>
        <v>Verduras frescas</v>
      </c>
      <c r="C609" s="41" t="str">
        <f>IFERROR(VLOOKUP("LB",'[1]Informacion '!P:Q,2,FALSE),"")</f>
        <v>Libra </v>
      </c>
      <c r="D609" s="39">
        <v>100</v>
      </c>
      <c r="E609" s="42">
        <v>25</v>
      </c>
      <c r="F609" s="43">
        <f t="shared" ca="1" si="27"/>
        <v>2500</v>
      </c>
    </row>
    <row r="610" spans="1:6" x14ac:dyDescent="0.25">
      <c r="A610" s="39" t="s">
        <v>83</v>
      </c>
      <c r="B610" s="40" t="str">
        <f t="shared" ca="1" si="26"/>
        <v>Verduras frescas</v>
      </c>
      <c r="C610" s="41" t="str">
        <f>IFERROR(VLOOKUP("LB",'[1]Informacion '!P:Q,2,FALSE),"")</f>
        <v>Libra </v>
      </c>
      <c r="D610" s="39">
        <v>300</v>
      </c>
      <c r="E610" s="42">
        <v>15</v>
      </c>
      <c r="F610" s="43">
        <f t="shared" ca="1" si="27"/>
        <v>4500</v>
      </c>
    </row>
    <row r="611" spans="1:6" x14ac:dyDescent="0.25">
      <c r="A611" s="39" t="s">
        <v>83</v>
      </c>
      <c r="B611" s="40" t="str">
        <f t="shared" ca="1" si="26"/>
        <v>Verduras frescas</v>
      </c>
      <c r="C611" s="41" t="str">
        <f>IFERROR(VLOOKUP("PAQ",'[1]Informacion '!P:Q,2,FALSE),"")</f>
        <v>Paquete</v>
      </c>
      <c r="D611" s="39">
        <v>40</v>
      </c>
      <c r="E611" s="42">
        <v>70</v>
      </c>
      <c r="F611" s="43">
        <f t="shared" ca="1" si="27"/>
        <v>2800</v>
      </c>
    </row>
    <row r="612" spans="1:6" x14ac:dyDescent="0.25">
      <c r="A612" s="39" t="s">
        <v>83</v>
      </c>
      <c r="B612" s="40" t="str">
        <f t="shared" ca="1" si="26"/>
        <v>Verduras frescas</v>
      </c>
      <c r="C612" s="41" t="str">
        <f>IFERROR(VLOOKUP("LB",'[1]Informacion '!P:Q,2,FALSE),"")</f>
        <v>Libra </v>
      </c>
      <c r="D612" s="39">
        <v>300</v>
      </c>
      <c r="E612" s="42">
        <v>28</v>
      </c>
      <c r="F612" s="43">
        <f t="shared" ca="1" si="27"/>
        <v>8400</v>
      </c>
    </row>
    <row r="613" spans="1:6" ht="17.25" customHeight="1" x14ac:dyDescent="0.25">
      <c r="A613" s="39" t="s">
        <v>84</v>
      </c>
      <c r="B613" s="40" t="str">
        <f ca="1">IFERROR(INDEX(UNSPSCDes,MATCH(INDIRECT(ADDRESS(ROW(),COLUMN()-1,4)),UNSPSCCode,0)),IF(INDIRECT(ADDRESS(ROW(),COLUMN()-1,4))="50171552","Mezcla para adobar",""))</f>
        <v>Mezcla para adobar</v>
      </c>
      <c r="C613" s="41" t="str">
        <f>IFERROR(VLOOKUP("LB",'[1]Informacion '!P:Q,2,FALSE),"")</f>
        <v>Libra </v>
      </c>
      <c r="D613" s="39">
        <v>20</v>
      </c>
      <c r="E613" s="42">
        <v>300</v>
      </c>
      <c r="F613" s="43">
        <f t="shared" ca="1" si="27"/>
        <v>6000</v>
      </c>
    </row>
    <row r="614" spans="1:6" x14ac:dyDescent="0.25">
      <c r="A614" s="39" t="s">
        <v>83</v>
      </c>
      <c r="B614" s="40" t="str">
        <f ca="1">IFERROR(INDEX(UNSPSCDes,MATCH(INDIRECT(ADDRESS(ROW(),COLUMN()-1,4)),UNSPSCCode,0)),IF(INDIRECT(ADDRESS(ROW(),COLUMN()-1,4))="50101538","Verduras frescas",""))</f>
        <v>Verduras frescas</v>
      </c>
      <c r="C614" s="41" t="str">
        <f>IFERROR(VLOOKUP("UD",'[1]Informacion '!P:Q,2,FALSE),"")</f>
        <v>Unidad</v>
      </c>
      <c r="D614" s="39">
        <v>60</v>
      </c>
      <c r="E614" s="42">
        <v>80</v>
      </c>
      <c r="F614" s="43">
        <f t="shared" ca="1" si="27"/>
        <v>4800</v>
      </c>
    </row>
    <row r="615" spans="1:6" x14ac:dyDescent="0.25">
      <c r="A615" s="39" t="s">
        <v>85</v>
      </c>
      <c r="B615" s="40" t="str">
        <f ca="1">IFERROR(INDEX(UNSPSCDes,MATCH(INDIRECT(ADDRESS(ROW(),COLUMN()-1,4)),UNSPSCCode,0)),IF(INDIRECT(ADDRESS(ROW(),COLUMN()-1,4))="50101634","Fruta fresca",""))</f>
        <v>Fruta fresca</v>
      </c>
      <c r="C615" s="41" t="str">
        <f>IFERROR(VLOOKUP("UD",'[1]Informacion '!P:Q,2,FALSE),"")</f>
        <v>Unidad</v>
      </c>
      <c r="D615" s="39">
        <v>300</v>
      </c>
      <c r="E615" s="42">
        <v>10</v>
      </c>
      <c r="F615" s="43">
        <f t="shared" ca="1" si="27"/>
        <v>3000</v>
      </c>
    </row>
    <row r="616" spans="1:6" x14ac:dyDescent="0.25">
      <c r="A616" s="39" t="s">
        <v>83</v>
      </c>
      <c r="B616" s="40" t="str">
        <f t="shared" ref="B616:B624" ca="1" si="28">IFERROR(INDEX(UNSPSCDes,MATCH(INDIRECT(ADDRESS(ROW(),COLUMN()-1,4)),UNSPSCCode,0)),IF(INDIRECT(ADDRESS(ROW(),COLUMN()-1,4))="50101538","Verduras frescas",""))</f>
        <v>Verduras frescas</v>
      </c>
      <c r="C616" s="41" t="str">
        <f>IFERROR(VLOOKUP("LB",'[1]Informacion '!P:Q,2,FALSE),"")</f>
        <v>Libra </v>
      </c>
      <c r="D616" s="39">
        <v>300</v>
      </c>
      <c r="E616" s="42">
        <v>30</v>
      </c>
      <c r="F616" s="43">
        <f t="shared" ca="1" si="27"/>
        <v>9000</v>
      </c>
    </row>
    <row r="617" spans="1:6" x14ac:dyDescent="0.25">
      <c r="A617" s="39" t="s">
        <v>83</v>
      </c>
      <c r="B617" s="40" t="str">
        <f t="shared" ca="1" si="28"/>
        <v>Verduras frescas</v>
      </c>
      <c r="C617" s="41" t="str">
        <f>IFERROR(VLOOKUP("LB",'[1]Informacion '!P:Q,2,FALSE),"")</f>
        <v>Libra </v>
      </c>
      <c r="D617" s="39">
        <v>50</v>
      </c>
      <c r="E617" s="42">
        <v>30</v>
      </c>
      <c r="F617" s="43">
        <f t="shared" ca="1" si="27"/>
        <v>1500</v>
      </c>
    </row>
    <row r="618" spans="1:6" x14ac:dyDescent="0.25">
      <c r="A618" s="39" t="s">
        <v>83</v>
      </c>
      <c r="B618" s="40" t="str">
        <f t="shared" ca="1" si="28"/>
        <v>Verduras frescas</v>
      </c>
      <c r="C618" s="41" t="str">
        <f>IFERROR(VLOOKUP("LB",'[1]Informacion '!P:Q,2,FALSE),"")</f>
        <v>Libra </v>
      </c>
      <c r="D618" s="39">
        <v>250</v>
      </c>
      <c r="E618" s="42">
        <v>25</v>
      </c>
      <c r="F618" s="43">
        <f t="shared" ca="1" si="27"/>
        <v>6250</v>
      </c>
    </row>
    <row r="619" spans="1:6" x14ac:dyDescent="0.25">
      <c r="A619" s="39" t="s">
        <v>83</v>
      </c>
      <c r="B619" s="40" t="str">
        <f t="shared" ca="1" si="28"/>
        <v>Verduras frescas</v>
      </c>
      <c r="C619" s="41" t="str">
        <f>IFERROR(VLOOKUP("LB",'[1]Informacion '!P:Q,2,FALSE),"")</f>
        <v>Libra </v>
      </c>
      <c r="D619" s="39">
        <v>750</v>
      </c>
      <c r="E619" s="42">
        <v>15</v>
      </c>
      <c r="F619" s="43">
        <f t="shared" ca="1" si="27"/>
        <v>11250</v>
      </c>
    </row>
    <row r="620" spans="1:6" x14ac:dyDescent="0.25">
      <c r="A620" s="39" t="s">
        <v>83</v>
      </c>
      <c r="B620" s="40" t="str">
        <f t="shared" ca="1" si="28"/>
        <v>Verduras frescas</v>
      </c>
      <c r="C620" s="41" t="str">
        <f>IFERROR(VLOOKUP("LB",'[1]Informacion '!P:Q,2,FALSE),"")</f>
        <v>Libra </v>
      </c>
      <c r="D620" s="39">
        <v>40</v>
      </c>
      <c r="E620" s="42">
        <v>40</v>
      </c>
      <c r="F620" s="43">
        <f t="shared" ca="1" si="27"/>
        <v>1600</v>
      </c>
    </row>
    <row r="621" spans="1:6" x14ac:dyDescent="0.25">
      <c r="A621" s="39" t="s">
        <v>83</v>
      </c>
      <c r="B621" s="40" t="str">
        <f t="shared" ca="1" si="28"/>
        <v>Verduras frescas</v>
      </c>
      <c r="C621" s="41" t="str">
        <f>IFERROR(VLOOKUP("LB",'[1]Informacion '!P:Q,2,FALSE),"")</f>
        <v>Libra </v>
      </c>
      <c r="D621" s="39">
        <v>300</v>
      </c>
      <c r="E621" s="42">
        <v>35</v>
      </c>
      <c r="F621" s="43">
        <f t="shared" ca="1" si="27"/>
        <v>10500</v>
      </c>
    </row>
    <row r="622" spans="1:6" x14ac:dyDescent="0.25">
      <c r="A622" s="39" t="s">
        <v>83</v>
      </c>
      <c r="B622" s="40" t="str">
        <f t="shared" ca="1" si="28"/>
        <v>Verduras frescas</v>
      </c>
      <c r="C622" s="41" t="str">
        <f>IFERROR(VLOOKUP("LB",'[1]Informacion '!P:Q,2,FALSE),"")</f>
        <v>Libra </v>
      </c>
      <c r="D622" s="39">
        <v>300</v>
      </c>
      <c r="E622" s="42">
        <v>18</v>
      </c>
      <c r="F622" s="43">
        <f t="shared" ca="1" si="27"/>
        <v>5400</v>
      </c>
    </row>
    <row r="623" spans="1:6" x14ac:dyDescent="0.25">
      <c r="A623" s="39" t="s">
        <v>83</v>
      </c>
      <c r="B623" s="40" t="str">
        <f t="shared" ca="1" si="28"/>
        <v>Verduras frescas</v>
      </c>
      <c r="C623" s="41" t="str">
        <f>IFERROR(VLOOKUP("LB",'[1]Informacion '!P:Q,2,FALSE),"")</f>
        <v>Libra </v>
      </c>
      <c r="D623" s="39">
        <v>125</v>
      </c>
      <c r="E623" s="42">
        <v>85</v>
      </c>
      <c r="F623" s="43">
        <f t="shared" ca="1" si="27"/>
        <v>10625</v>
      </c>
    </row>
    <row r="624" spans="1:6" x14ac:dyDescent="0.25">
      <c r="A624" s="39" t="s">
        <v>83</v>
      </c>
      <c r="B624" s="40" t="str">
        <f t="shared" ca="1" si="28"/>
        <v>Verduras frescas</v>
      </c>
      <c r="C624" s="41" t="str">
        <f>IFERROR(VLOOKUP("LB",'[1]Informacion '!P:Q,2,FALSE),"")</f>
        <v>Libra </v>
      </c>
      <c r="D624" s="39">
        <v>500</v>
      </c>
      <c r="E624" s="42">
        <v>45</v>
      </c>
      <c r="F624" s="43">
        <f t="shared" ca="1" si="27"/>
        <v>22500</v>
      </c>
    </row>
    <row r="625" spans="1:6" x14ac:dyDescent="0.25">
      <c r="A625" s="39" t="s">
        <v>86</v>
      </c>
      <c r="B625" s="40" t="str">
        <f ca="1">IFERROR(INDEX(UNSPSCDes,MATCH(INDIRECT(ADDRESS(ROW(),COLUMN()-1,4)),UNSPSCCode,0)),IF(INDIRECT(ADDRESS(ROW(),COLUMN()-1,4))="50131606","Huevos frescos",""))</f>
        <v>Huevos frescos</v>
      </c>
      <c r="C625" s="41" t="str">
        <f>IFERROR(VLOOKUP("UD",'[1]Informacion '!P:Q,2,FALSE),"")</f>
        <v>Unidad</v>
      </c>
      <c r="D625" s="39">
        <v>6000</v>
      </c>
      <c r="E625" s="42">
        <v>6.5</v>
      </c>
      <c r="F625" s="43">
        <f t="shared" ca="1" si="27"/>
        <v>39000</v>
      </c>
    </row>
    <row r="626" spans="1:6" x14ac:dyDescent="0.25">
      <c r="A626" s="39" t="s">
        <v>85</v>
      </c>
      <c r="B626" s="40" t="str">
        <f ca="1">IFERROR(INDEX(UNSPSCDes,MATCH(INDIRECT(ADDRESS(ROW(),COLUMN()-1,4)),UNSPSCCode,0)),IF(INDIRECT(ADDRESS(ROW(),COLUMN()-1,4))="50101634","Fruta fresca",""))</f>
        <v>Fruta fresca</v>
      </c>
      <c r="C626" s="41" t="str">
        <f>IFERROR(VLOOKUP("UD",'[1]Informacion '!P:Q,2,FALSE),"")</f>
        <v>Unidad</v>
      </c>
      <c r="D626" s="39">
        <v>40</v>
      </c>
      <c r="E626" s="42">
        <v>200</v>
      </c>
      <c r="F626" s="43">
        <f t="shared" ca="1" si="27"/>
        <v>8000</v>
      </c>
    </row>
    <row r="627" spans="1:6" x14ac:dyDescent="0.25">
      <c r="A627" s="39" t="s">
        <v>83</v>
      </c>
      <c r="B627" s="40" t="str">
        <f ca="1">IFERROR(INDEX(UNSPSCDes,MATCH(INDIRECT(ADDRESS(ROW(),COLUMN()-1,4)),UNSPSCCode,0)),IF(INDIRECT(ADDRESS(ROW(),COLUMN()-1,4))="50101538","Verduras frescas",""))</f>
        <v>Verduras frescas</v>
      </c>
      <c r="C627" s="41" t="str">
        <f>IFERROR(VLOOKUP("LB",'[1]Informacion '!P:Q,2,FALSE),"")</f>
        <v>Libra </v>
      </c>
      <c r="D627" s="39">
        <v>80</v>
      </c>
      <c r="E627" s="42">
        <v>45</v>
      </c>
      <c r="F627" s="43">
        <f t="shared" ca="1" si="27"/>
        <v>3600</v>
      </c>
    </row>
    <row r="628" spans="1:6" x14ac:dyDescent="0.25">
      <c r="A628" s="39" t="s">
        <v>85</v>
      </c>
      <c r="B628" s="40" t="str">
        <f ca="1">IFERROR(INDEX(UNSPSCDes,MATCH(INDIRECT(ADDRESS(ROW(),COLUMN()-1,4)),UNSPSCCode,0)),IF(INDIRECT(ADDRESS(ROW(),COLUMN()-1,4))="50101634","Fruta fresca",""))</f>
        <v>Fruta fresca</v>
      </c>
      <c r="C628" s="41" t="str">
        <f>IFERROR(VLOOKUP("UD",'[1]Informacion '!P:Q,2,FALSE),"")</f>
        <v>Unidad</v>
      </c>
      <c r="D628" s="39">
        <v>40</v>
      </c>
      <c r="E628" s="42">
        <v>65</v>
      </c>
      <c r="F628" s="43">
        <f t="shared" ca="1" si="27"/>
        <v>2600</v>
      </c>
    </row>
    <row r="629" spans="1:6" x14ac:dyDescent="0.25">
      <c r="A629" s="39" t="s">
        <v>85</v>
      </c>
      <c r="B629" s="40" t="str">
        <f ca="1">IFERROR(INDEX(UNSPSCDes,MATCH(INDIRECT(ADDRESS(ROW(),COLUMN()-1,4)),UNSPSCCode,0)),IF(INDIRECT(ADDRESS(ROW(),COLUMN()-1,4))="50101634","Fruta fresca",""))</f>
        <v>Fruta fresca</v>
      </c>
      <c r="C629" s="41" t="str">
        <f>IFERROR(VLOOKUP("UD",'[1]Informacion '!P:Q,2,FALSE),"")</f>
        <v>Unidad</v>
      </c>
      <c r="D629" s="39">
        <v>500</v>
      </c>
      <c r="E629" s="42">
        <v>12</v>
      </c>
      <c r="F629" s="43">
        <f t="shared" ca="1" si="27"/>
        <v>6000</v>
      </c>
    </row>
    <row r="630" spans="1:6" x14ac:dyDescent="0.25">
      <c r="A630" s="39" t="s">
        <v>85</v>
      </c>
      <c r="B630" s="40" t="str">
        <f ca="1">IFERROR(INDEX(UNSPSCDes,MATCH(INDIRECT(ADDRESS(ROW(),COLUMN()-1,4)),UNSPSCCode,0)),IF(INDIRECT(ADDRESS(ROW(),COLUMN()-1,4))="50101634","Fruta fresca",""))</f>
        <v>Fruta fresca</v>
      </c>
      <c r="C630" s="41" t="str">
        <f>IFERROR(VLOOKUP("UD",'[1]Informacion '!P:Q,2,FALSE),"")</f>
        <v>Unidad</v>
      </c>
      <c r="D630" s="39">
        <v>40</v>
      </c>
      <c r="E630" s="42">
        <v>60</v>
      </c>
      <c r="F630" s="43">
        <f t="shared" ca="1" si="27"/>
        <v>2400</v>
      </c>
    </row>
    <row r="631" spans="1:6" x14ac:dyDescent="0.25">
      <c r="A631" s="39" t="s">
        <v>85</v>
      </c>
      <c r="B631" s="40" t="str">
        <f ca="1">IFERROR(INDEX(UNSPSCDes,MATCH(INDIRECT(ADDRESS(ROW(),COLUMN()-1,4)),UNSPSCCode,0)),IF(INDIRECT(ADDRESS(ROW(),COLUMN()-1,4))="50101634","Fruta fresca",""))</f>
        <v>Fruta fresca</v>
      </c>
      <c r="C631" s="41" t="str">
        <f>IFERROR(VLOOKUP("UD",'[1]Informacion '!P:Q,2,FALSE),"")</f>
        <v>Unidad</v>
      </c>
      <c r="D631" s="39">
        <v>40</v>
      </c>
      <c r="E631" s="42">
        <v>60</v>
      </c>
      <c r="F631" s="43">
        <f t="shared" ca="1" si="27"/>
        <v>2400</v>
      </c>
    </row>
    <row r="632" spans="1:6" x14ac:dyDescent="0.25">
      <c r="A632" s="39" t="s">
        <v>85</v>
      </c>
      <c r="B632" s="40" t="str">
        <f ca="1">IFERROR(INDEX(UNSPSCDes,MATCH(INDIRECT(ADDRESS(ROW(),COLUMN()-1,4)),UNSPSCCode,0)),IF(INDIRECT(ADDRESS(ROW(),COLUMN()-1,4))="50101634","Fruta fresca",""))</f>
        <v>Fruta fresca</v>
      </c>
      <c r="C632" s="41" t="str">
        <f>IFERROR(VLOOKUP("UD",'[1]Informacion '!P:Q,2,FALSE),"")</f>
        <v>Unidad</v>
      </c>
      <c r="D632" s="39">
        <v>2000</v>
      </c>
      <c r="E632" s="42">
        <v>7</v>
      </c>
      <c r="F632" s="43">
        <f t="shared" ca="1" si="27"/>
        <v>14000</v>
      </c>
    </row>
    <row r="633" spans="1:6" x14ac:dyDescent="0.25">
      <c r="A633" s="39" t="s">
        <v>83</v>
      </c>
      <c r="B633" s="40" t="str">
        <f t="shared" ref="B633:B643" ca="1" si="29">IFERROR(INDEX(UNSPSCDes,MATCH(INDIRECT(ADDRESS(ROW(),COLUMN()-1,4)),UNSPSCCode,0)),IF(INDIRECT(ADDRESS(ROW(),COLUMN()-1,4))="50101538","Verduras frescas",""))</f>
        <v>Verduras frescas</v>
      </c>
      <c r="C633" s="41" t="str">
        <f>IFERROR(VLOOKUP("UD",'[1]Informacion '!P:Q,2,FALSE),"")</f>
        <v>Unidad</v>
      </c>
      <c r="D633" s="39">
        <v>500</v>
      </c>
      <c r="E633" s="42">
        <v>16</v>
      </c>
      <c r="F633" s="43">
        <f t="shared" ca="1" si="27"/>
        <v>8000</v>
      </c>
    </row>
    <row r="634" spans="1:6" x14ac:dyDescent="0.25">
      <c r="A634" s="39" t="s">
        <v>83</v>
      </c>
      <c r="B634" s="40" t="str">
        <f t="shared" ca="1" si="29"/>
        <v>Verduras frescas</v>
      </c>
      <c r="C634" s="41" t="str">
        <f>IFERROR(VLOOKUP("UD",'[1]Informacion '!P:Q,2,FALSE),"")</f>
        <v>Unidad</v>
      </c>
      <c r="D634" s="39">
        <v>15000</v>
      </c>
      <c r="E634" s="42">
        <v>7</v>
      </c>
      <c r="F634" s="43">
        <f t="shared" ca="1" si="27"/>
        <v>105000</v>
      </c>
    </row>
    <row r="635" spans="1:6" x14ac:dyDescent="0.25">
      <c r="A635" s="39" t="s">
        <v>83</v>
      </c>
      <c r="B635" s="40" t="str">
        <f t="shared" ca="1" si="29"/>
        <v>Verduras frescas</v>
      </c>
      <c r="C635" s="41" t="str">
        <f>IFERROR(VLOOKUP("UD",'[1]Informacion '!P:Q,2,FALSE),"")</f>
        <v>Unidad</v>
      </c>
      <c r="D635" s="39">
        <v>2000</v>
      </c>
      <c r="E635" s="42">
        <v>16</v>
      </c>
      <c r="F635" s="43">
        <f t="shared" ca="1" si="27"/>
        <v>32000</v>
      </c>
    </row>
    <row r="636" spans="1:6" x14ac:dyDescent="0.25">
      <c r="A636" s="39" t="s">
        <v>83</v>
      </c>
      <c r="B636" s="40" t="str">
        <f t="shared" ca="1" si="29"/>
        <v>Verduras frescas</v>
      </c>
      <c r="C636" s="41" t="str">
        <f>IFERROR(VLOOKUP("LB",'[1]Informacion '!P:Q,2,FALSE),"")</f>
        <v>Libra </v>
      </c>
      <c r="D636" s="39">
        <v>1200</v>
      </c>
      <c r="E636" s="42">
        <v>55</v>
      </c>
      <c r="F636" s="43">
        <f t="shared" ca="1" si="27"/>
        <v>66000</v>
      </c>
    </row>
    <row r="637" spans="1:6" x14ac:dyDescent="0.25">
      <c r="A637" s="39" t="s">
        <v>83</v>
      </c>
      <c r="B637" s="40" t="str">
        <f t="shared" ca="1" si="29"/>
        <v>Verduras frescas</v>
      </c>
      <c r="C637" s="41" t="str">
        <f>IFERROR(VLOOKUP("LB",'[1]Informacion '!P:Q,2,FALSE),"")</f>
        <v>Libra </v>
      </c>
      <c r="D637" s="39">
        <v>1200</v>
      </c>
      <c r="E637" s="42">
        <v>50</v>
      </c>
      <c r="F637" s="43">
        <f t="shared" ca="1" si="27"/>
        <v>60000</v>
      </c>
    </row>
    <row r="638" spans="1:6" x14ac:dyDescent="0.25">
      <c r="A638" s="39" t="s">
        <v>83</v>
      </c>
      <c r="B638" s="40" t="str">
        <f t="shared" ca="1" si="29"/>
        <v>Verduras frescas</v>
      </c>
      <c r="C638" s="41" t="str">
        <f>IFERROR(VLOOKUP("LB",'[1]Informacion '!P:Q,2,FALSE),"")</f>
        <v>Libra </v>
      </c>
      <c r="D638" s="39">
        <v>300</v>
      </c>
      <c r="E638" s="42">
        <v>25</v>
      </c>
      <c r="F638" s="43">
        <f t="shared" ca="1" si="27"/>
        <v>7500</v>
      </c>
    </row>
    <row r="639" spans="1:6" x14ac:dyDescent="0.25">
      <c r="A639" s="39" t="s">
        <v>83</v>
      </c>
      <c r="B639" s="40" t="str">
        <f t="shared" ca="1" si="29"/>
        <v>Verduras frescas</v>
      </c>
      <c r="C639" s="41" t="str">
        <f>IFERROR(VLOOKUP("LB",'[1]Informacion '!P:Q,2,FALSE),"")</f>
        <v>Libra </v>
      </c>
      <c r="D639" s="39">
        <v>300</v>
      </c>
      <c r="E639" s="42">
        <v>25</v>
      </c>
      <c r="F639" s="43">
        <f t="shared" ca="1" si="27"/>
        <v>7500</v>
      </c>
    </row>
    <row r="640" spans="1:6" x14ac:dyDescent="0.25">
      <c r="A640" s="39" t="s">
        <v>83</v>
      </c>
      <c r="B640" s="40" t="str">
        <f t="shared" ca="1" si="29"/>
        <v>Verduras frescas</v>
      </c>
      <c r="C640" s="41" t="str">
        <f>IFERROR(VLOOKUP("LB",'[1]Informacion '!P:Q,2,FALSE),"")</f>
        <v>Libra </v>
      </c>
      <c r="D640" s="39">
        <v>150</v>
      </c>
      <c r="E640" s="42">
        <v>25</v>
      </c>
      <c r="F640" s="43">
        <f t="shared" ca="1" si="27"/>
        <v>3750</v>
      </c>
    </row>
    <row r="641" spans="1:6" x14ac:dyDescent="0.25">
      <c r="A641" s="39" t="s">
        <v>83</v>
      </c>
      <c r="B641" s="40" t="str">
        <f t="shared" ca="1" si="29"/>
        <v>Verduras frescas</v>
      </c>
      <c r="C641" s="41" t="str">
        <f>IFERROR(VLOOKUP("LB",'[1]Informacion '!P:Q,2,FALSE),"")</f>
        <v>Libra </v>
      </c>
      <c r="D641" s="39">
        <v>40</v>
      </c>
      <c r="E641" s="42">
        <v>50</v>
      </c>
      <c r="F641" s="43">
        <f t="shared" ca="1" si="27"/>
        <v>2000</v>
      </c>
    </row>
    <row r="642" spans="1:6" x14ac:dyDescent="0.25">
      <c r="A642" s="39" t="s">
        <v>83</v>
      </c>
      <c r="B642" s="40" t="str">
        <f t="shared" ca="1" si="29"/>
        <v>Verduras frescas</v>
      </c>
      <c r="C642" s="41" t="str">
        <f>IFERROR(VLOOKUP("LB",'[1]Informacion '!P:Q,2,FALSE),"")</f>
        <v>Libra </v>
      </c>
      <c r="D642" s="39">
        <v>800</v>
      </c>
      <c r="E642" s="42">
        <v>50</v>
      </c>
      <c r="F642" s="43">
        <f t="shared" ca="1" si="27"/>
        <v>40000</v>
      </c>
    </row>
    <row r="643" spans="1:6" x14ac:dyDescent="0.25">
      <c r="A643" s="39" t="s">
        <v>83</v>
      </c>
      <c r="B643" s="40" t="str">
        <f t="shared" ca="1" si="29"/>
        <v>Verduras frescas</v>
      </c>
      <c r="C643" s="41" t="str">
        <f>IFERROR(VLOOKUP("LB",'[1]Informacion '!P:Q,2,FALSE),"")</f>
        <v>Libra </v>
      </c>
      <c r="D643" s="39">
        <v>150</v>
      </c>
      <c r="E643" s="42">
        <v>55</v>
      </c>
      <c r="F643" s="43">
        <f t="shared" ca="1" si="27"/>
        <v>8250</v>
      </c>
    </row>
    <row r="644" spans="1:6" ht="22.5" x14ac:dyDescent="0.25">
      <c r="A644" s="39" t="s">
        <v>87</v>
      </c>
      <c r="B644" s="40" t="str">
        <f ca="1">IFERROR(INDEX(UNSPSCDes,MATCH(INDIRECT(ADDRESS(ROW(),COLUMN()-1,4)),UNSPSCCode,0)),IF(INDIRECT(ADDRESS(ROW(),COLUMN()-1,4))="50171550","Especies o extractos",""))</f>
        <v>Especies o extractos</v>
      </c>
      <c r="C644" s="41" t="str">
        <f>IFERROR(VLOOKUP("LB",'[1]Informacion '!P:Q,2,FALSE),"")</f>
        <v>Libra </v>
      </c>
      <c r="D644" s="39">
        <v>20</v>
      </c>
      <c r="E644" s="42">
        <v>250</v>
      </c>
      <c r="F644" s="43">
        <f t="shared" ca="1" si="27"/>
        <v>5000</v>
      </c>
    </row>
    <row r="645" spans="1:6" ht="18.75" customHeight="1" x14ac:dyDescent="0.25">
      <c r="A645" s="39" t="s">
        <v>87</v>
      </c>
      <c r="B645" s="40" t="str">
        <f ca="1">IFERROR(INDEX(UNSPSCDes,MATCH(INDIRECT(ADDRESS(ROW(),COLUMN()-1,4)),UNSPSCCode,0)),IF(INDIRECT(ADDRESS(ROW(),COLUMN()-1,4))="50171550","Especies o extractos",""))</f>
        <v>Especies o extractos</v>
      </c>
      <c r="C645" s="41" t="str">
        <f>IFERROR(VLOOKUP("LB",'[1]Informacion '!P:Q,2,FALSE),"")</f>
        <v>Libra </v>
      </c>
      <c r="D645" s="39">
        <v>10</v>
      </c>
      <c r="E645" s="42">
        <v>250</v>
      </c>
      <c r="F645" s="43">
        <f t="shared" ca="1" si="27"/>
        <v>2500</v>
      </c>
    </row>
    <row r="646" spans="1:6" ht="18" customHeight="1" x14ac:dyDescent="0.25">
      <c r="A646" s="39" t="s">
        <v>83</v>
      </c>
      <c r="B646" s="40" t="str">
        <f ca="1">IFERROR(INDEX(UNSPSCDes,MATCH(INDIRECT(ADDRESS(ROW(),COLUMN()-1,4)),UNSPSCCode,0)),IF(INDIRECT(ADDRESS(ROW(),COLUMN()-1,4))="50101538","Verduras frescas",""))</f>
        <v>Verduras frescas</v>
      </c>
      <c r="C646" s="41" t="str">
        <f>IFERROR(VLOOKUP("LB",'[1]Informacion '!P:Q,2,FALSE),"")</f>
        <v>Libra </v>
      </c>
      <c r="D646" s="39">
        <v>10</v>
      </c>
      <c r="E646" s="42">
        <v>200</v>
      </c>
      <c r="F646" s="43">
        <f t="shared" ca="1" si="27"/>
        <v>2000</v>
      </c>
    </row>
    <row r="647" spans="1:6" ht="18" customHeight="1" x14ac:dyDescent="0.25">
      <c r="A647" s="39" t="s">
        <v>83</v>
      </c>
      <c r="B647" s="40" t="str">
        <f ca="1">IFERROR(INDEX(UNSPSCDes,MATCH(INDIRECT(ADDRESS(ROW(),COLUMN()-1,4)),UNSPSCCode,0)),IF(INDIRECT(ADDRESS(ROW(),COLUMN()-1,4))="50101538","Verduras frescas",""))</f>
        <v>Verduras frescas</v>
      </c>
      <c r="C647" s="41" t="str">
        <f>IFERROR(VLOOKUP("LB",'[1]Informacion '!P:Q,2,FALSE),"")</f>
        <v>Libra </v>
      </c>
      <c r="D647" s="39">
        <v>20</v>
      </c>
      <c r="E647" s="42">
        <v>45</v>
      </c>
      <c r="F647" s="43">
        <f t="shared" ca="1" si="27"/>
        <v>900</v>
      </c>
    </row>
    <row r="648" spans="1:6" x14ac:dyDescent="0.25">
      <c r="A648" s="46"/>
      <c r="B648" s="46"/>
      <c r="C648" s="46"/>
      <c r="D648" s="46"/>
      <c r="E648" s="44" t="s">
        <v>46</v>
      </c>
      <c r="F648" s="45">
        <f ca="1">SUM(Table17[MONTO TOTAL ESTIMADO])</f>
        <v>579425</v>
      </c>
    </row>
    <row r="649" spans="1:6" ht="15.75" thickBot="1" x14ac:dyDescent="0.3">
      <c r="A649" s="46"/>
      <c r="B649" s="46"/>
      <c r="C649" s="46"/>
      <c r="D649" s="46"/>
      <c r="E649" s="46"/>
      <c r="F649" s="46"/>
    </row>
    <row r="650" spans="1:6" ht="34.5" thickBot="1" x14ac:dyDescent="0.3">
      <c r="A650" s="29" t="s">
        <v>18</v>
      </c>
      <c r="B650" s="29" t="s">
        <v>19</v>
      </c>
      <c r="C650" s="29" t="s">
        <v>20</v>
      </c>
      <c r="D650" s="29" t="s">
        <v>21</v>
      </c>
      <c r="E650" s="29" t="s">
        <v>22</v>
      </c>
      <c r="F650" s="29" t="s">
        <v>23</v>
      </c>
    </row>
    <row r="651" spans="1:6" ht="15.75" thickBot="1" x14ac:dyDescent="0.3">
      <c r="A651" s="30" t="s">
        <v>24</v>
      </c>
      <c r="B651" s="30" t="s">
        <v>82</v>
      </c>
      <c r="C651" s="30" t="s">
        <v>26</v>
      </c>
      <c r="D651" s="30" t="s">
        <v>27</v>
      </c>
      <c r="E651" s="30" t="s">
        <v>28</v>
      </c>
      <c r="F651" s="30" t="s">
        <v>17</v>
      </c>
    </row>
    <row r="652" spans="1:6" ht="15.75" thickBot="1" x14ac:dyDescent="0.3">
      <c r="A652" s="31" t="s">
        <v>29</v>
      </c>
      <c r="B652" s="32" t="s">
        <v>30</v>
      </c>
      <c r="C652" s="33">
        <v>46296</v>
      </c>
      <c r="D652" s="31" t="s">
        <v>31</v>
      </c>
      <c r="E652" s="34" t="s">
        <v>32</v>
      </c>
      <c r="F652" s="35" t="s">
        <v>33</v>
      </c>
    </row>
    <row r="653" spans="1:6" ht="15.75" thickBot="1" x14ac:dyDescent="0.3">
      <c r="A653" s="36"/>
      <c r="B653" s="32" t="s">
        <v>34</v>
      </c>
      <c r="C653" s="37">
        <f>IF(C652="","",IF(AND(MONTH(C652)&gt;=1,MONTH(C652)&lt;=3),1,IF(AND(MONTH(C652)&gt;=4,MONTH(C652)&lt;=6),2,IF(AND(MONTH(C652)&gt;=7,MONTH(C652)&lt;=9),3,4))))</f>
        <v>4</v>
      </c>
      <c r="D653" s="36"/>
      <c r="E653" s="34" t="s">
        <v>35</v>
      </c>
      <c r="F653" s="35"/>
    </row>
    <row r="654" spans="1:6" ht="15.75" thickBot="1" x14ac:dyDescent="0.3">
      <c r="A654" s="36"/>
      <c r="B654" s="32" t="s">
        <v>36</v>
      </c>
      <c r="C654" s="33">
        <v>46299</v>
      </c>
      <c r="D654" s="36"/>
      <c r="E654" s="34" t="s">
        <v>37</v>
      </c>
      <c r="F654" s="35"/>
    </row>
    <row r="655" spans="1:6" ht="15.75" thickBot="1" x14ac:dyDescent="0.3">
      <c r="A655" s="36"/>
      <c r="B655" s="32" t="s">
        <v>34</v>
      </c>
      <c r="C655" s="37">
        <f>IF(C654="","",IF(AND(MONTH(C654)&gt;=1,MONTH(C654)&lt;=3),1,IF(AND(MONTH(C654)&gt;=4,MONTH(C654)&lt;=6),2,IF(AND(MONTH(C654)&gt;=7,MONTH(C654)&lt;=9),3,4))))</f>
        <v>4</v>
      </c>
      <c r="D655" s="36"/>
      <c r="E655" s="34" t="s">
        <v>38</v>
      </c>
      <c r="F655" s="35"/>
    </row>
    <row r="656" spans="1:6" ht="15.75" thickBot="1" x14ac:dyDescent="0.3">
      <c r="A656" s="46"/>
      <c r="B656" s="46"/>
      <c r="C656" s="46"/>
      <c r="D656" s="46"/>
      <c r="E656" s="46"/>
      <c r="F656" s="46"/>
    </row>
    <row r="657" spans="1:6" ht="15.75" thickBot="1" x14ac:dyDescent="0.3">
      <c r="A657" s="38" t="s">
        <v>39</v>
      </c>
      <c r="B657" s="38" t="s">
        <v>40</v>
      </c>
      <c r="C657" s="38" t="s">
        <v>41</v>
      </c>
      <c r="D657" s="38" t="s">
        <v>42</v>
      </c>
      <c r="E657" s="38" t="s">
        <v>43</v>
      </c>
      <c r="F657" s="38" t="s">
        <v>44</v>
      </c>
    </row>
    <row r="658" spans="1:6" x14ac:dyDescent="0.25">
      <c r="A658" s="39" t="s">
        <v>83</v>
      </c>
      <c r="B658" s="40" t="str">
        <f t="shared" ref="B658:B666" ca="1" si="30">IFERROR(INDEX(UNSPSCDes,MATCH(INDIRECT(ADDRESS(ROW(),COLUMN()-1,4)),UNSPSCCode,0)),IF(INDIRECT(ADDRESS(ROW(),COLUMN()-1,4))="50101538","Verduras frescas",""))</f>
        <v>Verduras frescas</v>
      </c>
      <c r="C658" s="41" t="str">
        <f>IFERROR(VLOOKUP("LB",'[1]Informacion '!P:Q,2,FALSE),"")</f>
        <v>Libra </v>
      </c>
      <c r="D658" s="39">
        <v>800</v>
      </c>
      <c r="E658" s="42">
        <v>20</v>
      </c>
      <c r="F658" s="43">
        <f t="shared" ref="F658:F701" ca="1" si="31">INDIRECT(ADDRESS(ROW(),COLUMN()-2,4))*INDIRECT(ADDRESS(ROW(),COLUMN()-1,4))</f>
        <v>16000</v>
      </c>
    </row>
    <row r="659" spans="1:6" x14ac:dyDescent="0.25">
      <c r="A659" s="39" t="s">
        <v>83</v>
      </c>
      <c r="B659" s="40" t="str">
        <f t="shared" ca="1" si="30"/>
        <v>Verduras frescas</v>
      </c>
      <c r="C659" s="41" t="str">
        <f>IFERROR(VLOOKUP("PAQ",'[1]Informacion '!P:Q,2,FALSE),"")</f>
        <v>Paquete</v>
      </c>
      <c r="D659" s="39">
        <v>40</v>
      </c>
      <c r="E659" s="42">
        <v>60</v>
      </c>
      <c r="F659" s="43">
        <f t="shared" ca="1" si="31"/>
        <v>2400</v>
      </c>
    </row>
    <row r="660" spans="1:6" x14ac:dyDescent="0.25">
      <c r="A660" s="39" t="s">
        <v>83</v>
      </c>
      <c r="B660" s="40" t="str">
        <f t="shared" ca="1" si="30"/>
        <v>Verduras frescas</v>
      </c>
      <c r="C660" s="41" t="str">
        <f>IFERROR(VLOOKUP("LB",'[1]Informacion '!P:Q,2,FALSE),"")</f>
        <v>Libra </v>
      </c>
      <c r="D660" s="39">
        <v>750</v>
      </c>
      <c r="E660" s="42">
        <v>28</v>
      </c>
      <c r="F660" s="43">
        <f t="shared" ca="1" si="31"/>
        <v>21000</v>
      </c>
    </row>
    <row r="661" spans="1:6" x14ac:dyDescent="0.25">
      <c r="A661" s="39" t="s">
        <v>83</v>
      </c>
      <c r="B661" s="40" t="str">
        <f t="shared" ca="1" si="30"/>
        <v>Verduras frescas</v>
      </c>
      <c r="C661" s="41" t="str">
        <f>IFERROR(VLOOKUP("LB",'[1]Informacion '!P:Q,2,FALSE),"")</f>
        <v>Libra </v>
      </c>
      <c r="D661" s="39">
        <v>10</v>
      </c>
      <c r="E661" s="42">
        <v>50</v>
      </c>
      <c r="F661" s="43">
        <f t="shared" ca="1" si="31"/>
        <v>500</v>
      </c>
    </row>
    <row r="662" spans="1:6" x14ac:dyDescent="0.25">
      <c r="A662" s="39" t="s">
        <v>83</v>
      </c>
      <c r="B662" s="40" t="str">
        <f t="shared" ca="1" si="30"/>
        <v>Verduras frescas</v>
      </c>
      <c r="C662" s="41" t="str">
        <f>IFERROR(VLOOKUP("LB",'[1]Informacion '!P:Q,2,FALSE),"")</f>
        <v>Libra </v>
      </c>
      <c r="D662" s="39">
        <v>10</v>
      </c>
      <c r="E662" s="42">
        <v>50</v>
      </c>
      <c r="F662" s="43">
        <f t="shared" ca="1" si="31"/>
        <v>500</v>
      </c>
    </row>
    <row r="663" spans="1:6" x14ac:dyDescent="0.25">
      <c r="A663" s="39" t="s">
        <v>83</v>
      </c>
      <c r="B663" s="40" t="str">
        <f t="shared" ca="1" si="30"/>
        <v>Verduras frescas</v>
      </c>
      <c r="C663" s="41" t="str">
        <f>IFERROR(VLOOKUP("LB",'[1]Informacion '!P:Q,2,FALSE),"")</f>
        <v>Libra </v>
      </c>
      <c r="D663" s="39">
        <v>100</v>
      </c>
      <c r="E663" s="42">
        <v>25</v>
      </c>
      <c r="F663" s="43">
        <f t="shared" ca="1" si="31"/>
        <v>2500</v>
      </c>
    </row>
    <row r="664" spans="1:6" x14ac:dyDescent="0.25">
      <c r="A664" s="39" t="s">
        <v>83</v>
      </c>
      <c r="B664" s="40" t="str">
        <f t="shared" ca="1" si="30"/>
        <v>Verduras frescas</v>
      </c>
      <c r="C664" s="41" t="str">
        <f>IFERROR(VLOOKUP("LB",'[1]Informacion '!P:Q,2,FALSE),"")</f>
        <v>Libra </v>
      </c>
      <c r="D664" s="39">
        <v>300</v>
      </c>
      <c r="E664" s="42">
        <v>15</v>
      </c>
      <c r="F664" s="43">
        <f t="shared" ca="1" si="31"/>
        <v>4500</v>
      </c>
    </row>
    <row r="665" spans="1:6" x14ac:dyDescent="0.25">
      <c r="A665" s="39" t="s">
        <v>83</v>
      </c>
      <c r="B665" s="40" t="str">
        <f t="shared" ca="1" si="30"/>
        <v>Verduras frescas</v>
      </c>
      <c r="C665" s="41" t="str">
        <f>IFERROR(VLOOKUP("PAQ",'[1]Informacion '!P:Q,2,FALSE),"")</f>
        <v>Paquete</v>
      </c>
      <c r="D665" s="39">
        <v>40</v>
      </c>
      <c r="E665" s="42">
        <v>70</v>
      </c>
      <c r="F665" s="43">
        <f t="shared" ca="1" si="31"/>
        <v>2800</v>
      </c>
    </row>
    <row r="666" spans="1:6" x14ac:dyDescent="0.25">
      <c r="A666" s="39" t="s">
        <v>83</v>
      </c>
      <c r="B666" s="40" t="str">
        <f t="shared" ca="1" si="30"/>
        <v>Verduras frescas</v>
      </c>
      <c r="C666" s="41" t="str">
        <f>IFERROR(VLOOKUP("LB",'[1]Informacion '!P:Q,2,FALSE),"")</f>
        <v>Libra </v>
      </c>
      <c r="D666" s="39">
        <v>300</v>
      </c>
      <c r="E666" s="42">
        <v>28</v>
      </c>
      <c r="F666" s="43">
        <f t="shared" ca="1" si="31"/>
        <v>8400</v>
      </c>
    </row>
    <row r="667" spans="1:6" ht="22.5" x14ac:dyDescent="0.25">
      <c r="A667" s="39" t="s">
        <v>84</v>
      </c>
      <c r="B667" s="40" t="str">
        <f ca="1">IFERROR(INDEX(UNSPSCDes,MATCH(INDIRECT(ADDRESS(ROW(),COLUMN()-1,4)),UNSPSCCode,0)),IF(INDIRECT(ADDRESS(ROW(),COLUMN()-1,4))="50171552","Mezcla para adobar",""))</f>
        <v>Mezcla para adobar</v>
      </c>
      <c r="C667" s="41" t="str">
        <f>IFERROR(VLOOKUP("LB",'[1]Informacion '!P:Q,2,FALSE),"")</f>
        <v>Libra </v>
      </c>
      <c r="D667" s="39">
        <v>20</v>
      </c>
      <c r="E667" s="42">
        <v>300</v>
      </c>
      <c r="F667" s="43">
        <f t="shared" ca="1" si="31"/>
        <v>6000</v>
      </c>
    </row>
    <row r="668" spans="1:6" x14ac:dyDescent="0.25">
      <c r="A668" s="39" t="s">
        <v>83</v>
      </c>
      <c r="B668" s="40" t="str">
        <f ca="1">IFERROR(INDEX(UNSPSCDes,MATCH(INDIRECT(ADDRESS(ROW(),COLUMN()-1,4)),UNSPSCCode,0)),IF(INDIRECT(ADDRESS(ROW(),COLUMN()-1,4))="50101538","Verduras frescas",""))</f>
        <v>Verduras frescas</v>
      </c>
      <c r="C668" s="41" t="str">
        <f>IFERROR(VLOOKUP("UD",'[1]Informacion '!P:Q,2,FALSE),"")</f>
        <v>Unidad</v>
      </c>
      <c r="D668" s="39">
        <v>60</v>
      </c>
      <c r="E668" s="42">
        <v>80</v>
      </c>
      <c r="F668" s="43">
        <f t="shared" ca="1" si="31"/>
        <v>4800</v>
      </c>
    </row>
    <row r="669" spans="1:6" x14ac:dyDescent="0.25">
      <c r="A669" s="39" t="s">
        <v>85</v>
      </c>
      <c r="B669" s="40" t="str">
        <f ca="1">IFERROR(INDEX(UNSPSCDes,MATCH(INDIRECT(ADDRESS(ROW(),COLUMN()-1,4)),UNSPSCCode,0)),IF(INDIRECT(ADDRESS(ROW(),COLUMN()-1,4))="50101634","Fruta fresca",""))</f>
        <v>Fruta fresca</v>
      </c>
      <c r="C669" s="41" t="str">
        <f>IFERROR(VLOOKUP("UD",'[1]Informacion '!P:Q,2,FALSE),"")</f>
        <v>Unidad</v>
      </c>
      <c r="D669" s="39">
        <v>300</v>
      </c>
      <c r="E669" s="42">
        <v>10</v>
      </c>
      <c r="F669" s="43">
        <f t="shared" ca="1" si="31"/>
        <v>3000</v>
      </c>
    </row>
    <row r="670" spans="1:6" x14ac:dyDescent="0.25">
      <c r="A670" s="39" t="s">
        <v>83</v>
      </c>
      <c r="B670" s="40" t="str">
        <f t="shared" ref="B670:B678" ca="1" si="32">IFERROR(INDEX(UNSPSCDes,MATCH(INDIRECT(ADDRESS(ROW(),COLUMN()-1,4)),UNSPSCCode,0)),IF(INDIRECT(ADDRESS(ROW(),COLUMN()-1,4))="50101538","Verduras frescas",""))</f>
        <v>Verduras frescas</v>
      </c>
      <c r="C670" s="41" t="str">
        <f>IFERROR(VLOOKUP("LB",'[1]Informacion '!P:Q,2,FALSE),"")</f>
        <v>Libra </v>
      </c>
      <c r="D670" s="39">
        <v>300</v>
      </c>
      <c r="E670" s="42">
        <v>30</v>
      </c>
      <c r="F670" s="43">
        <f t="shared" ca="1" si="31"/>
        <v>9000</v>
      </c>
    </row>
    <row r="671" spans="1:6" x14ac:dyDescent="0.25">
      <c r="A671" s="39" t="s">
        <v>83</v>
      </c>
      <c r="B671" s="40" t="str">
        <f t="shared" ca="1" si="32"/>
        <v>Verduras frescas</v>
      </c>
      <c r="C671" s="41" t="str">
        <f>IFERROR(VLOOKUP("LB",'[1]Informacion '!P:Q,2,FALSE),"")</f>
        <v>Libra </v>
      </c>
      <c r="D671" s="39">
        <v>50</v>
      </c>
      <c r="E671" s="42">
        <v>30</v>
      </c>
      <c r="F671" s="43">
        <f t="shared" ca="1" si="31"/>
        <v>1500</v>
      </c>
    </row>
    <row r="672" spans="1:6" x14ac:dyDescent="0.25">
      <c r="A672" s="39" t="s">
        <v>83</v>
      </c>
      <c r="B672" s="40" t="str">
        <f t="shared" ca="1" si="32"/>
        <v>Verduras frescas</v>
      </c>
      <c r="C672" s="41" t="str">
        <f>IFERROR(VLOOKUP("LB",'[1]Informacion '!P:Q,2,FALSE),"")</f>
        <v>Libra </v>
      </c>
      <c r="D672" s="39">
        <v>250</v>
      </c>
      <c r="E672" s="42">
        <v>25</v>
      </c>
      <c r="F672" s="43">
        <f t="shared" ca="1" si="31"/>
        <v>6250</v>
      </c>
    </row>
    <row r="673" spans="1:6" x14ac:dyDescent="0.25">
      <c r="A673" s="39" t="s">
        <v>83</v>
      </c>
      <c r="B673" s="40" t="str">
        <f t="shared" ca="1" si="32"/>
        <v>Verduras frescas</v>
      </c>
      <c r="C673" s="41" t="str">
        <f>IFERROR(VLOOKUP("LB",'[1]Informacion '!P:Q,2,FALSE),"")</f>
        <v>Libra </v>
      </c>
      <c r="D673" s="39">
        <v>750</v>
      </c>
      <c r="E673" s="42">
        <v>15</v>
      </c>
      <c r="F673" s="43">
        <f t="shared" ca="1" si="31"/>
        <v>11250</v>
      </c>
    </row>
    <row r="674" spans="1:6" x14ac:dyDescent="0.25">
      <c r="A674" s="39" t="s">
        <v>83</v>
      </c>
      <c r="B674" s="40" t="str">
        <f t="shared" ca="1" si="32"/>
        <v>Verduras frescas</v>
      </c>
      <c r="C674" s="41" t="str">
        <f>IFERROR(VLOOKUP("LB",'[1]Informacion '!P:Q,2,FALSE),"")</f>
        <v>Libra </v>
      </c>
      <c r="D674" s="39">
        <v>40</v>
      </c>
      <c r="E674" s="42">
        <v>40</v>
      </c>
      <c r="F674" s="43">
        <f t="shared" ca="1" si="31"/>
        <v>1600</v>
      </c>
    </row>
    <row r="675" spans="1:6" x14ac:dyDescent="0.25">
      <c r="A675" s="39" t="s">
        <v>83</v>
      </c>
      <c r="B675" s="40" t="str">
        <f t="shared" ca="1" si="32"/>
        <v>Verduras frescas</v>
      </c>
      <c r="C675" s="41" t="str">
        <f>IFERROR(VLOOKUP("LB",'[1]Informacion '!P:Q,2,FALSE),"")</f>
        <v>Libra </v>
      </c>
      <c r="D675" s="39">
        <v>300</v>
      </c>
      <c r="E675" s="42">
        <v>35</v>
      </c>
      <c r="F675" s="43">
        <f t="shared" ca="1" si="31"/>
        <v>10500</v>
      </c>
    </row>
    <row r="676" spans="1:6" x14ac:dyDescent="0.25">
      <c r="A676" s="39" t="s">
        <v>83</v>
      </c>
      <c r="B676" s="40" t="str">
        <f t="shared" ca="1" si="32"/>
        <v>Verduras frescas</v>
      </c>
      <c r="C676" s="41" t="str">
        <f>IFERROR(VLOOKUP("LB",'[1]Informacion '!P:Q,2,FALSE),"")</f>
        <v>Libra </v>
      </c>
      <c r="D676" s="39">
        <v>300</v>
      </c>
      <c r="E676" s="42">
        <v>18</v>
      </c>
      <c r="F676" s="43">
        <f t="shared" ca="1" si="31"/>
        <v>5400</v>
      </c>
    </row>
    <row r="677" spans="1:6" x14ac:dyDescent="0.25">
      <c r="A677" s="39" t="s">
        <v>83</v>
      </c>
      <c r="B677" s="40" t="str">
        <f t="shared" ca="1" si="32"/>
        <v>Verduras frescas</v>
      </c>
      <c r="C677" s="41" t="str">
        <f>IFERROR(VLOOKUP("LB",'[1]Informacion '!P:Q,2,FALSE),"")</f>
        <v>Libra </v>
      </c>
      <c r="D677" s="39">
        <v>125</v>
      </c>
      <c r="E677" s="42">
        <v>85</v>
      </c>
      <c r="F677" s="43">
        <f t="shared" ca="1" si="31"/>
        <v>10625</v>
      </c>
    </row>
    <row r="678" spans="1:6" x14ac:dyDescent="0.25">
      <c r="A678" s="39" t="s">
        <v>83</v>
      </c>
      <c r="B678" s="40" t="str">
        <f t="shared" ca="1" si="32"/>
        <v>Verduras frescas</v>
      </c>
      <c r="C678" s="41" t="str">
        <f>IFERROR(VLOOKUP("LB",'[1]Informacion '!P:Q,2,FALSE),"")</f>
        <v>Libra </v>
      </c>
      <c r="D678" s="39">
        <v>500</v>
      </c>
      <c r="E678" s="42">
        <v>45</v>
      </c>
      <c r="F678" s="43">
        <f t="shared" ca="1" si="31"/>
        <v>22500</v>
      </c>
    </row>
    <row r="679" spans="1:6" x14ac:dyDescent="0.25">
      <c r="A679" s="39" t="s">
        <v>86</v>
      </c>
      <c r="B679" s="40" t="str">
        <f ca="1">IFERROR(INDEX(UNSPSCDes,MATCH(INDIRECT(ADDRESS(ROW(),COLUMN()-1,4)),UNSPSCCode,0)),IF(INDIRECT(ADDRESS(ROW(),COLUMN()-1,4))="50131606","Huevos frescos",""))</f>
        <v>Huevos frescos</v>
      </c>
      <c r="C679" s="41" t="str">
        <f>IFERROR(VLOOKUP("UD",'[1]Informacion '!P:Q,2,FALSE),"")</f>
        <v>Unidad</v>
      </c>
      <c r="D679" s="39">
        <v>6000</v>
      </c>
      <c r="E679" s="42">
        <v>6.5</v>
      </c>
      <c r="F679" s="43">
        <f t="shared" ca="1" si="31"/>
        <v>39000</v>
      </c>
    </row>
    <row r="680" spans="1:6" x14ac:dyDescent="0.25">
      <c r="A680" s="39" t="s">
        <v>85</v>
      </c>
      <c r="B680" s="40" t="str">
        <f ca="1">IFERROR(INDEX(UNSPSCDes,MATCH(INDIRECT(ADDRESS(ROW(),COLUMN()-1,4)),UNSPSCCode,0)),IF(INDIRECT(ADDRESS(ROW(),COLUMN()-1,4))="50101634","Fruta fresca",""))</f>
        <v>Fruta fresca</v>
      </c>
      <c r="C680" s="41" t="str">
        <f>IFERROR(VLOOKUP("UD",'[1]Informacion '!P:Q,2,FALSE),"")</f>
        <v>Unidad</v>
      </c>
      <c r="D680" s="39">
        <v>40</v>
      </c>
      <c r="E680" s="42">
        <v>200</v>
      </c>
      <c r="F680" s="43">
        <f t="shared" ca="1" si="31"/>
        <v>8000</v>
      </c>
    </row>
    <row r="681" spans="1:6" x14ac:dyDescent="0.25">
      <c r="A681" s="39" t="s">
        <v>83</v>
      </c>
      <c r="B681" s="40" t="str">
        <f ca="1">IFERROR(INDEX(UNSPSCDes,MATCH(INDIRECT(ADDRESS(ROW(),COLUMN()-1,4)),UNSPSCCode,0)),IF(INDIRECT(ADDRESS(ROW(),COLUMN()-1,4))="50101538","Verduras frescas",""))</f>
        <v>Verduras frescas</v>
      </c>
      <c r="C681" s="41" t="str">
        <f>IFERROR(VLOOKUP("LB",'[1]Informacion '!P:Q,2,FALSE),"")</f>
        <v>Libra </v>
      </c>
      <c r="D681" s="39">
        <v>80</v>
      </c>
      <c r="E681" s="42">
        <v>45</v>
      </c>
      <c r="F681" s="43">
        <f t="shared" ca="1" si="31"/>
        <v>3600</v>
      </c>
    </row>
    <row r="682" spans="1:6" x14ac:dyDescent="0.25">
      <c r="A682" s="39" t="s">
        <v>85</v>
      </c>
      <c r="B682" s="40" t="str">
        <f ca="1">IFERROR(INDEX(UNSPSCDes,MATCH(INDIRECT(ADDRESS(ROW(),COLUMN()-1,4)),UNSPSCCode,0)),IF(INDIRECT(ADDRESS(ROW(),COLUMN()-1,4))="50101634","Fruta fresca",""))</f>
        <v>Fruta fresca</v>
      </c>
      <c r="C682" s="41" t="str">
        <f>IFERROR(VLOOKUP("UD",'[1]Informacion '!P:Q,2,FALSE),"")</f>
        <v>Unidad</v>
      </c>
      <c r="D682" s="39">
        <v>40</v>
      </c>
      <c r="E682" s="42">
        <v>65</v>
      </c>
      <c r="F682" s="43">
        <f t="shared" ca="1" si="31"/>
        <v>2600</v>
      </c>
    </row>
    <row r="683" spans="1:6" x14ac:dyDescent="0.25">
      <c r="A683" s="39" t="s">
        <v>85</v>
      </c>
      <c r="B683" s="40" t="str">
        <f ca="1">IFERROR(INDEX(UNSPSCDes,MATCH(INDIRECT(ADDRESS(ROW(),COLUMN()-1,4)),UNSPSCCode,0)),IF(INDIRECT(ADDRESS(ROW(),COLUMN()-1,4))="50101634","Fruta fresca",""))</f>
        <v>Fruta fresca</v>
      </c>
      <c r="C683" s="41" t="str">
        <f>IFERROR(VLOOKUP("UD",'[1]Informacion '!P:Q,2,FALSE),"")</f>
        <v>Unidad</v>
      </c>
      <c r="D683" s="39">
        <v>500</v>
      </c>
      <c r="E683" s="42">
        <v>12</v>
      </c>
      <c r="F683" s="43">
        <f t="shared" ca="1" si="31"/>
        <v>6000</v>
      </c>
    </row>
    <row r="684" spans="1:6" x14ac:dyDescent="0.25">
      <c r="A684" s="39" t="s">
        <v>85</v>
      </c>
      <c r="B684" s="40" t="str">
        <f ca="1">IFERROR(INDEX(UNSPSCDes,MATCH(INDIRECT(ADDRESS(ROW(),COLUMN()-1,4)),UNSPSCCode,0)),IF(INDIRECT(ADDRESS(ROW(),COLUMN()-1,4))="50101634","Fruta fresca",""))</f>
        <v>Fruta fresca</v>
      </c>
      <c r="C684" s="41" t="str">
        <f>IFERROR(VLOOKUP("UD",'[1]Informacion '!P:Q,2,FALSE),"")</f>
        <v>Unidad</v>
      </c>
      <c r="D684" s="39">
        <v>40</v>
      </c>
      <c r="E684" s="42">
        <v>60</v>
      </c>
      <c r="F684" s="43">
        <f t="shared" ca="1" si="31"/>
        <v>2400</v>
      </c>
    </row>
    <row r="685" spans="1:6" x14ac:dyDescent="0.25">
      <c r="A685" s="39" t="s">
        <v>85</v>
      </c>
      <c r="B685" s="40" t="str">
        <f ca="1">IFERROR(INDEX(UNSPSCDes,MATCH(INDIRECT(ADDRESS(ROW(),COLUMN()-1,4)),UNSPSCCode,0)),IF(INDIRECT(ADDRESS(ROW(),COLUMN()-1,4))="50101634","Fruta fresca",""))</f>
        <v>Fruta fresca</v>
      </c>
      <c r="C685" s="41" t="str">
        <f>IFERROR(VLOOKUP("UD",'[1]Informacion '!P:Q,2,FALSE),"")</f>
        <v>Unidad</v>
      </c>
      <c r="D685" s="39">
        <v>40</v>
      </c>
      <c r="E685" s="42">
        <v>60</v>
      </c>
      <c r="F685" s="43">
        <f t="shared" ca="1" si="31"/>
        <v>2400</v>
      </c>
    </row>
    <row r="686" spans="1:6" x14ac:dyDescent="0.25">
      <c r="A686" s="39" t="s">
        <v>85</v>
      </c>
      <c r="B686" s="40" t="str">
        <f ca="1">IFERROR(INDEX(UNSPSCDes,MATCH(INDIRECT(ADDRESS(ROW(),COLUMN()-1,4)),UNSPSCCode,0)),IF(INDIRECT(ADDRESS(ROW(),COLUMN()-1,4))="50101634","Fruta fresca",""))</f>
        <v>Fruta fresca</v>
      </c>
      <c r="C686" s="41" t="str">
        <f>IFERROR(VLOOKUP("UD",'[1]Informacion '!P:Q,2,FALSE),"")</f>
        <v>Unidad</v>
      </c>
      <c r="D686" s="39">
        <v>2000</v>
      </c>
      <c r="E686" s="42">
        <v>7</v>
      </c>
      <c r="F686" s="43">
        <f t="shared" ca="1" si="31"/>
        <v>14000</v>
      </c>
    </row>
    <row r="687" spans="1:6" x14ac:dyDescent="0.25">
      <c r="A687" s="39" t="s">
        <v>83</v>
      </c>
      <c r="B687" s="40" t="str">
        <f t="shared" ref="B687:B697" ca="1" si="33">IFERROR(INDEX(UNSPSCDes,MATCH(INDIRECT(ADDRESS(ROW(),COLUMN()-1,4)),UNSPSCCode,0)),IF(INDIRECT(ADDRESS(ROW(),COLUMN()-1,4))="50101538","Verduras frescas",""))</f>
        <v>Verduras frescas</v>
      </c>
      <c r="C687" s="41" t="str">
        <f>IFERROR(VLOOKUP("UD",'[1]Informacion '!P:Q,2,FALSE),"")</f>
        <v>Unidad</v>
      </c>
      <c r="D687" s="39">
        <v>500</v>
      </c>
      <c r="E687" s="42">
        <v>16</v>
      </c>
      <c r="F687" s="43">
        <f t="shared" ca="1" si="31"/>
        <v>8000</v>
      </c>
    </row>
    <row r="688" spans="1:6" x14ac:dyDescent="0.25">
      <c r="A688" s="39" t="s">
        <v>83</v>
      </c>
      <c r="B688" s="40" t="str">
        <f t="shared" ca="1" si="33"/>
        <v>Verduras frescas</v>
      </c>
      <c r="C688" s="41" t="str">
        <f>IFERROR(VLOOKUP("UD",'[1]Informacion '!P:Q,2,FALSE),"")</f>
        <v>Unidad</v>
      </c>
      <c r="D688" s="39">
        <v>15000</v>
      </c>
      <c r="E688" s="42">
        <v>7</v>
      </c>
      <c r="F688" s="43">
        <f t="shared" ca="1" si="31"/>
        <v>105000</v>
      </c>
    </row>
    <row r="689" spans="1:6" x14ac:dyDescent="0.25">
      <c r="A689" s="39" t="s">
        <v>83</v>
      </c>
      <c r="B689" s="40" t="str">
        <f t="shared" ca="1" si="33"/>
        <v>Verduras frescas</v>
      </c>
      <c r="C689" s="41" t="str">
        <f>IFERROR(VLOOKUP("UD",'[1]Informacion '!P:Q,2,FALSE),"")</f>
        <v>Unidad</v>
      </c>
      <c r="D689" s="39">
        <v>2000</v>
      </c>
      <c r="E689" s="42">
        <v>16</v>
      </c>
      <c r="F689" s="43">
        <f t="shared" ca="1" si="31"/>
        <v>32000</v>
      </c>
    </row>
    <row r="690" spans="1:6" x14ac:dyDescent="0.25">
      <c r="A690" s="39" t="s">
        <v>83</v>
      </c>
      <c r="B690" s="40" t="str">
        <f t="shared" ca="1" si="33"/>
        <v>Verduras frescas</v>
      </c>
      <c r="C690" s="41" t="str">
        <f>IFERROR(VLOOKUP("LB",'[1]Informacion '!P:Q,2,FALSE),"")</f>
        <v>Libra </v>
      </c>
      <c r="D690" s="39">
        <v>1200</v>
      </c>
      <c r="E690" s="42">
        <v>55</v>
      </c>
      <c r="F690" s="43">
        <f t="shared" ca="1" si="31"/>
        <v>66000</v>
      </c>
    </row>
    <row r="691" spans="1:6" x14ac:dyDescent="0.25">
      <c r="A691" s="39" t="s">
        <v>83</v>
      </c>
      <c r="B691" s="40" t="str">
        <f t="shared" ca="1" si="33"/>
        <v>Verduras frescas</v>
      </c>
      <c r="C691" s="41" t="str">
        <f>IFERROR(VLOOKUP("LB",'[1]Informacion '!P:Q,2,FALSE),"")</f>
        <v>Libra </v>
      </c>
      <c r="D691" s="39">
        <v>1200</v>
      </c>
      <c r="E691" s="42">
        <v>50</v>
      </c>
      <c r="F691" s="43">
        <f t="shared" ca="1" si="31"/>
        <v>60000</v>
      </c>
    </row>
    <row r="692" spans="1:6" x14ac:dyDescent="0.25">
      <c r="A692" s="39" t="s">
        <v>83</v>
      </c>
      <c r="B692" s="40" t="str">
        <f t="shared" ca="1" si="33"/>
        <v>Verduras frescas</v>
      </c>
      <c r="C692" s="41" t="str">
        <f>IFERROR(VLOOKUP("LB",'[1]Informacion '!P:Q,2,FALSE),"")</f>
        <v>Libra </v>
      </c>
      <c r="D692" s="39">
        <v>300</v>
      </c>
      <c r="E692" s="42">
        <v>25</v>
      </c>
      <c r="F692" s="43">
        <f t="shared" ca="1" si="31"/>
        <v>7500</v>
      </c>
    </row>
    <row r="693" spans="1:6" x14ac:dyDescent="0.25">
      <c r="A693" s="39" t="s">
        <v>83</v>
      </c>
      <c r="B693" s="40" t="str">
        <f t="shared" ca="1" si="33"/>
        <v>Verduras frescas</v>
      </c>
      <c r="C693" s="41" t="str">
        <f>IFERROR(VLOOKUP("LB",'[1]Informacion '!P:Q,2,FALSE),"")</f>
        <v>Libra </v>
      </c>
      <c r="D693" s="39">
        <v>300</v>
      </c>
      <c r="E693" s="42">
        <v>25</v>
      </c>
      <c r="F693" s="43">
        <f t="shared" ca="1" si="31"/>
        <v>7500</v>
      </c>
    </row>
    <row r="694" spans="1:6" x14ac:dyDescent="0.25">
      <c r="A694" s="39" t="s">
        <v>83</v>
      </c>
      <c r="B694" s="40" t="str">
        <f t="shared" ca="1" si="33"/>
        <v>Verduras frescas</v>
      </c>
      <c r="C694" s="41" t="str">
        <f>IFERROR(VLOOKUP("LB",'[1]Informacion '!P:Q,2,FALSE),"")</f>
        <v>Libra </v>
      </c>
      <c r="D694" s="39">
        <v>150</v>
      </c>
      <c r="E694" s="42">
        <v>25</v>
      </c>
      <c r="F694" s="43">
        <f t="shared" ca="1" si="31"/>
        <v>3750</v>
      </c>
    </row>
    <row r="695" spans="1:6" x14ac:dyDescent="0.25">
      <c r="A695" s="39" t="s">
        <v>83</v>
      </c>
      <c r="B695" s="40" t="str">
        <f t="shared" ca="1" si="33"/>
        <v>Verduras frescas</v>
      </c>
      <c r="C695" s="41" t="str">
        <f>IFERROR(VLOOKUP("LB",'[1]Informacion '!P:Q,2,FALSE),"")</f>
        <v>Libra </v>
      </c>
      <c r="D695" s="39">
        <v>40</v>
      </c>
      <c r="E695" s="42">
        <v>50</v>
      </c>
      <c r="F695" s="43">
        <f t="shared" ca="1" si="31"/>
        <v>2000</v>
      </c>
    </row>
    <row r="696" spans="1:6" x14ac:dyDescent="0.25">
      <c r="A696" s="39" t="s">
        <v>83</v>
      </c>
      <c r="B696" s="40" t="str">
        <f t="shared" ca="1" si="33"/>
        <v>Verduras frescas</v>
      </c>
      <c r="C696" s="41" t="str">
        <f>IFERROR(VLOOKUP("LB",'[1]Informacion '!P:Q,2,FALSE),"")</f>
        <v>Libra </v>
      </c>
      <c r="D696" s="39">
        <v>800</v>
      </c>
      <c r="E696" s="42">
        <v>50</v>
      </c>
      <c r="F696" s="43">
        <f t="shared" ca="1" si="31"/>
        <v>40000</v>
      </c>
    </row>
    <row r="697" spans="1:6" x14ac:dyDescent="0.25">
      <c r="A697" s="39" t="s">
        <v>83</v>
      </c>
      <c r="B697" s="40" t="str">
        <f t="shared" ca="1" si="33"/>
        <v>Verduras frescas</v>
      </c>
      <c r="C697" s="41" t="str">
        <f>IFERROR(VLOOKUP("LB",'[1]Informacion '!P:Q,2,FALSE),"")</f>
        <v>Libra </v>
      </c>
      <c r="D697" s="39">
        <v>150</v>
      </c>
      <c r="E697" s="42">
        <v>55</v>
      </c>
      <c r="F697" s="43">
        <f t="shared" ca="1" si="31"/>
        <v>8250</v>
      </c>
    </row>
    <row r="698" spans="1:6" ht="17.25" customHeight="1" x14ac:dyDescent="0.25">
      <c r="A698" s="39" t="s">
        <v>87</v>
      </c>
      <c r="B698" s="40" t="str">
        <f ca="1">IFERROR(INDEX(UNSPSCDes,MATCH(INDIRECT(ADDRESS(ROW(),COLUMN()-1,4)),UNSPSCCode,0)),IF(INDIRECT(ADDRESS(ROW(),COLUMN()-1,4))="50171550","Especies o extractos",""))</f>
        <v>Especies o extractos</v>
      </c>
      <c r="C698" s="41" t="str">
        <f>IFERROR(VLOOKUP("LB",'[1]Informacion '!P:Q,2,FALSE),"")</f>
        <v>Libra </v>
      </c>
      <c r="D698" s="39">
        <v>20</v>
      </c>
      <c r="E698" s="42">
        <v>250</v>
      </c>
      <c r="F698" s="43">
        <f t="shared" ca="1" si="31"/>
        <v>5000</v>
      </c>
    </row>
    <row r="699" spans="1:6" ht="18.75" customHeight="1" x14ac:dyDescent="0.25">
      <c r="A699" s="39" t="s">
        <v>87</v>
      </c>
      <c r="B699" s="40" t="str">
        <f ca="1">IFERROR(INDEX(UNSPSCDes,MATCH(INDIRECT(ADDRESS(ROW(),COLUMN()-1,4)),UNSPSCCode,0)),IF(INDIRECT(ADDRESS(ROW(),COLUMN()-1,4))="50171550","Especies o extractos",""))</f>
        <v>Especies o extractos</v>
      </c>
      <c r="C699" s="41" t="str">
        <f>IFERROR(VLOOKUP("LB",'[1]Informacion '!P:Q,2,FALSE),"")</f>
        <v>Libra </v>
      </c>
      <c r="D699" s="39">
        <v>10</v>
      </c>
      <c r="E699" s="42">
        <v>250</v>
      </c>
      <c r="F699" s="43">
        <f t="shared" ca="1" si="31"/>
        <v>2500</v>
      </c>
    </row>
    <row r="700" spans="1:6" x14ac:dyDescent="0.25">
      <c r="A700" s="39" t="s">
        <v>83</v>
      </c>
      <c r="B700" s="40" t="str">
        <f ca="1">IFERROR(INDEX(UNSPSCDes,MATCH(INDIRECT(ADDRESS(ROW(),COLUMN()-1,4)),UNSPSCCode,0)),IF(INDIRECT(ADDRESS(ROW(),COLUMN()-1,4))="50101538","Verduras frescas",""))</f>
        <v>Verduras frescas</v>
      </c>
      <c r="C700" s="41" t="str">
        <f>IFERROR(VLOOKUP("LB",'[1]Informacion '!P:Q,2,FALSE),"")</f>
        <v>Libra </v>
      </c>
      <c r="D700" s="39">
        <v>10</v>
      </c>
      <c r="E700" s="42">
        <v>200</v>
      </c>
      <c r="F700" s="43">
        <f t="shared" ca="1" si="31"/>
        <v>2000</v>
      </c>
    </row>
    <row r="701" spans="1:6" x14ac:dyDescent="0.25">
      <c r="A701" s="39" t="s">
        <v>83</v>
      </c>
      <c r="B701" s="40" t="str">
        <f ca="1">IFERROR(INDEX(UNSPSCDes,MATCH(INDIRECT(ADDRESS(ROW(),COLUMN()-1,4)),UNSPSCCode,0)),IF(INDIRECT(ADDRESS(ROW(),COLUMN()-1,4))="50101538","Verduras frescas",""))</f>
        <v>Verduras frescas</v>
      </c>
      <c r="C701" s="41" t="str">
        <f>IFERROR(VLOOKUP("LB",'[1]Informacion '!P:Q,2,FALSE),"")</f>
        <v>Libra </v>
      </c>
      <c r="D701" s="39">
        <v>20</v>
      </c>
      <c r="E701" s="42">
        <v>45</v>
      </c>
      <c r="F701" s="43">
        <f t="shared" ca="1" si="31"/>
        <v>900</v>
      </c>
    </row>
    <row r="702" spans="1:6" x14ac:dyDescent="0.25">
      <c r="A702" s="46"/>
      <c r="B702" s="46"/>
      <c r="C702" s="46"/>
      <c r="D702" s="46"/>
      <c r="E702" s="44" t="s">
        <v>46</v>
      </c>
      <c r="F702" s="45">
        <f ca="1">SUM(Table18[MONTO TOTAL ESTIMADO])</f>
        <v>579425</v>
      </c>
    </row>
    <row r="703" spans="1:6" ht="15.75" thickBot="1" x14ac:dyDescent="0.3">
      <c r="A703" s="46"/>
      <c r="B703" s="46"/>
      <c r="C703" s="46"/>
      <c r="D703" s="46"/>
      <c r="E703" s="46"/>
      <c r="F703" s="46"/>
    </row>
    <row r="704" spans="1:6" ht="34.5" thickBot="1" x14ac:dyDescent="0.3">
      <c r="A704" s="29" t="s">
        <v>18</v>
      </c>
      <c r="B704" s="29" t="s">
        <v>19</v>
      </c>
      <c r="C704" s="29" t="s">
        <v>20</v>
      </c>
      <c r="D704" s="29" t="s">
        <v>21</v>
      </c>
      <c r="E704" s="29" t="s">
        <v>22</v>
      </c>
      <c r="F704" s="29" t="s">
        <v>23</v>
      </c>
    </row>
    <row r="705" spans="1:6" ht="15.75" thickBot="1" x14ac:dyDescent="0.3">
      <c r="A705" s="30" t="s">
        <v>24</v>
      </c>
      <c r="B705" s="30" t="s">
        <v>82</v>
      </c>
      <c r="C705" s="30" t="s">
        <v>26</v>
      </c>
      <c r="D705" s="30" t="s">
        <v>27</v>
      </c>
      <c r="E705" s="30" t="s">
        <v>28</v>
      </c>
      <c r="F705" s="30" t="s">
        <v>17</v>
      </c>
    </row>
    <row r="706" spans="1:6" ht="15.75" thickBot="1" x14ac:dyDescent="0.3">
      <c r="A706" s="31" t="s">
        <v>29</v>
      </c>
      <c r="B706" s="32" t="s">
        <v>30</v>
      </c>
      <c r="C706" s="33">
        <v>46330</v>
      </c>
      <c r="D706" s="31" t="s">
        <v>31</v>
      </c>
      <c r="E706" s="34" t="s">
        <v>32</v>
      </c>
      <c r="F706" s="35" t="s">
        <v>33</v>
      </c>
    </row>
    <row r="707" spans="1:6" ht="15.75" thickBot="1" x14ac:dyDescent="0.3">
      <c r="A707" s="36"/>
      <c r="B707" s="32" t="s">
        <v>34</v>
      </c>
      <c r="C707" s="37">
        <f>IF(C706="","",IF(AND(MONTH(C706)&gt;=1,MONTH(C706)&lt;=3),1,IF(AND(MONTH(C706)&gt;=4,MONTH(C706)&lt;=6),2,IF(AND(MONTH(C706)&gt;=7,MONTH(C706)&lt;=9),3,4))))</f>
        <v>4</v>
      </c>
      <c r="D707" s="36"/>
      <c r="E707" s="34" t="s">
        <v>35</v>
      </c>
      <c r="F707" s="35"/>
    </row>
    <row r="708" spans="1:6" ht="15.75" thickBot="1" x14ac:dyDescent="0.3">
      <c r="A708" s="36"/>
      <c r="B708" s="32" t="s">
        <v>36</v>
      </c>
      <c r="C708" s="33">
        <v>46333</v>
      </c>
      <c r="D708" s="36"/>
      <c r="E708" s="34" t="s">
        <v>37</v>
      </c>
      <c r="F708" s="35"/>
    </row>
    <row r="709" spans="1:6" ht="15.75" thickBot="1" x14ac:dyDescent="0.3">
      <c r="A709" s="36"/>
      <c r="B709" s="32" t="s">
        <v>34</v>
      </c>
      <c r="C709" s="37">
        <f>IF(C708="","",IF(AND(MONTH(C708)&gt;=1,MONTH(C708)&lt;=3),1,IF(AND(MONTH(C708)&gt;=4,MONTH(C708)&lt;=6),2,IF(AND(MONTH(C708)&gt;=7,MONTH(C708)&lt;=9),3,4))))</f>
        <v>4</v>
      </c>
      <c r="D709" s="36"/>
      <c r="E709" s="34" t="s">
        <v>38</v>
      </c>
      <c r="F709" s="35"/>
    </row>
    <row r="710" spans="1:6" ht="15.75" thickBot="1" x14ac:dyDescent="0.3">
      <c r="A710" s="46"/>
      <c r="B710" s="46"/>
      <c r="C710" s="46"/>
      <c r="D710" s="46"/>
      <c r="E710" s="46"/>
      <c r="F710" s="46"/>
    </row>
    <row r="711" spans="1:6" ht="15.75" thickBot="1" x14ac:dyDescent="0.3">
      <c r="A711" s="38" t="s">
        <v>39</v>
      </c>
      <c r="B711" s="38" t="s">
        <v>40</v>
      </c>
      <c r="C711" s="38" t="s">
        <v>41</v>
      </c>
      <c r="D711" s="38" t="s">
        <v>42</v>
      </c>
      <c r="E711" s="38" t="s">
        <v>43</v>
      </c>
      <c r="F711" s="38" t="s">
        <v>44</v>
      </c>
    </row>
    <row r="712" spans="1:6" x14ac:dyDescent="0.25">
      <c r="A712" s="39" t="s">
        <v>83</v>
      </c>
      <c r="B712" s="40" t="str">
        <f t="shared" ref="B712:B720" ca="1" si="34">IFERROR(INDEX(UNSPSCDes,MATCH(INDIRECT(ADDRESS(ROW(),COLUMN()-1,4)),UNSPSCCode,0)),IF(INDIRECT(ADDRESS(ROW(),COLUMN()-1,4))="50101538","Verduras frescas",""))</f>
        <v>Verduras frescas</v>
      </c>
      <c r="C712" s="41" t="str">
        <f>IFERROR(VLOOKUP("LB",'[1]Informacion '!P:Q,2,FALSE),"")</f>
        <v>Libra </v>
      </c>
      <c r="D712" s="39">
        <v>800</v>
      </c>
      <c r="E712" s="42">
        <v>20</v>
      </c>
      <c r="F712" s="43">
        <f t="shared" ref="F712:F755" ca="1" si="35">INDIRECT(ADDRESS(ROW(),COLUMN()-2,4))*INDIRECT(ADDRESS(ROW(),COLUMN()-1,4))</f>
        <v>16000</v>
      </c>
    </row>
    <row r="713" spans="1:6" x14ac:dyDescent="0.25">
      <c r="A713" s="39" t="s">
        <v>83</v>
      </c>
      <c r="B713" s="40" t="str">
        <f t="shared" ca="1" si="34"/>
        <v>Verduras frescas</v>
      </c>
      <c r="C713" s="41" t="str">
        <f>IFERROR(VLOOKUP("PAQ",'[1]Informacion '!P:Q,2,FALSE),"")</f>
        <v>Paquete</v>
      </c>
      <c r="D713" s="39">
        <v>40</v>
      </c>
      <c r="E713" s="42">
        <v>60</v>
      </c>
      <c r="F713" s="43">
        <f t="shared" ca="1" si="35"/>
        <v>2400</v>
      </c>
    </row>
    <row r="714" spans="1:6" x14ac:dyDescent="0.25">
      <c r="A714" s="39" t="s">
        <v>83</v>
      </c>
      <c r="B714" s="40" t="str">
        <f t="shared" ca="1" si="34"/>
        <v>Verduras frescas</v>
      </c>
      <c r="C714" s="41" t="str">
        <f>IFERROR(VLOOKUP("LB",'[1]Informacion '!P:Q,2,FALSE),"")</f>
        <v>Libra </v>
      </c>
      <c r="D714" s="39">
        <v>750</v>
      </c>
      <c r="E714" s="42">
        <v>28</v>
      </c>
      <c r="F714" s="43">
        <f t="shared" ca="1" si="35"/>
        <v>21000</v>
      </c>
    </row>
    <row r="715" spans="1:6" x14ac:dyDescent="0.25">
      <c r="A715" s="39" t="s">
        <v>83</v>
      </c>
      <c r="B715" s="40" t="str">
        <f t="shared" ca="1" si="34"/>
        <v>Verduras frescas</v>
      </c>
      <c r="C715" s="41" t="str">
        <f>IFERROR(VLOOKUP("LB",'[1]Informacion '!P:Q,2,FALSE),"")</f>
        <v>Libra </v>
      </c>
      <c r="D715" s="39">
        <v>10</v>
      </c>
      <c r="E715" s="42">
        <v>50</v>
      </c>
      <c r="F715" s="43">
        <f t="shared" ca="1" si="35"/>
        <v>500</v>
      </c>
    </row>
    <row r="716" spans="1:6" x14ac:dyDescent="0.25">
      <c r="A716" s="39" t="s">
        <v>83</v>
      </c>
      <c r="B716" s="40" t="str">
        <f t="shared" ca="1" si="34"/>
        <v>Verduras frescas</v>
      </c>
      <c r="C716" s="41" t="str">
        <f>IFERROR(VLOOKUP("LB",'[1]Informacion '!P:Q,2,FALSE),"")</f>
        <v>Libra </v>
      </c>
      <c r="D716" s="39">
        <v>10</v>
      </c>
      <c r="E716" s="42">
        <v>50</v>
      </c>
      <c r="F716" s="43">
        <f t="shared" ca="1" si="35"/>
        <v>500</v>
      </c>
    </row>
    <row r="717" spans="1:6" x14ac:dyDescent="0.25">
      <c r="A717" s="39" t="s">
        <v>83</v>
      </c>
      <c r="B717" s="40" t="str">
        <f t="shared" ca="1" si="34"/>
        <v>Verduras frescas</v>
      </c>
      <c r="C717" s="41" t="str">
        <f>IFERROR(VLOOKUP("LB",'[1]Informacion '!P:Q,2,FALSE),"")</f>
        <v>Libra </v>
      </c>
      <c r="D717" s="39">
        <v>100</v>
      </c>
      <c r="E717" s="42">
        <v>25</v>
      </c>
      <c r="F717" s="43">
        <f t="shared" ca="1" si="35"/>
        <v>2500</v>
      </c>
    </row>
    <row r="718" spans="1:6" x14ac:dyDescent="0.25">
      <c r="A718" s="39" t="s">
        <v>83</v>
      </c>
      <c r="B718" s="40" t="str">
        <f t="shared" ca="1" si="34"/>
        <v>Verduras frescas</v>
      </c>
      <c r="C718" s="41" t="str">
        <f>IFERROR(VLOOKUP("LB",'[1]Informacion '!P:Q,2,FALSE),"")</f>
        <v>Libra </v>
      </c>
      <c r="D718" s="39">
        <v>300</v>
      </c>
      <c r="E718" s="42">
        <v>15</v>
      </c>
      <c r="F718" s="43">
        <f t="shared" ca="1" si="35"/>
        <v>4500</v>
      </c>
    </row>
    <row r="719" spans="1:6" x14ac:dyDescent="0.25">
      <c r="A719" s="39" t="s">
        <v>83</v>
      </c>
      <c r="B719" s="40" t="str">
        <f t="shared" ca="1" si="34"/>
        <v>Verduras frescas</v>
      </c>
      <c r="C719" s="41" t="str">
        <f>IFERROR(VLOOKUP("PAQ",'[1]Informacion '!P:Q,2,FALSE),"")</f>
        <v>Paquete</v>
      </c>
      <c r="D719" s="39">
        <v>40</v>
      </c>
      <c r="E719" s="42">
        <v>70</v>
      </c>
      <c r="F719" s="43">
        <f t="shared" ca="1" si="35"/>
        <v>2800</v>
      </c>
    </row>
    <row r="720" spans="1:6" x14ac:dyDescent="0.25">
      <c r="A720" s="39" t="s">
        <v>83</v>
      </c>
      <c r="B720" s="40" t="str">
        <f t="shared" ca="1" si="34"/>
        <v>Verduras frescas</v>
      </c>
      <c r="C720" s="41" t="str">
        <f>IFERROR(VLOOKUP("LB",'[1]Informacion '!P:Q,2,FALSE),"")</f>
        <v>Libra </v>
      </c>
      <c r="D720" s="39">
        <v>300</v>
      </c>
      <c r="E720" s="42">
        <v>28</v>
      </c>
      <c r="F720" s="43">
        <f t="shared" ca="1" si="35"/>
        <v>8400</v>
      </c>
    </row>
    <row r="721" spans="1:6" ht="17.25" customHeight="1" x14ac:dyDescent="0.25">
      <c r="A721" s="39" t="s">
        <v>84</v>
      </c>
      <c r="B721" s="40" t="str">
        <f ca="1">IFERROR(INDEX(UNSPSCDes,MATCH(INDIRECT(ADDRESS(ROW(),COLUMN()-1,4)),UNSPSCCode,0)),IF(INDIRECT(ADDRESS(ROW(),COLUMN()-1,4))="50171552","Mezcla para adobar",""))</f>
        <v>Mezcla para adobar</v>
      </c>
      <c r="C721" s="41" t="str">
        <f>IFERROR(VLOOKUP("LB",'[1]Informacion '!P:Q,2,FALSE),"")</f>
        <v>Libra </v>
      </c>
      <c r="D721" s="39">
        <v>20</v>
      </c>
      <c r="E721" s="42">
        <v>300</v>
      </c>
      <c r="F721" s="43">
        <f t="shared" ca="1" si="35"/>
        <v>6000</v>
      </c>
    </row>
    <row r="722" spans="1:6" x14ac:dyDescent="0.25">
      <c r="A722" s="39" t="s">
        <v>83</v>
      </c>
      <c r="B722" s="40" t="str">
        <f ca="1">IFERROR(INDEX(UNSPSCDes,MATCH(INDIRECT(ADDRESS(ROW(),COLUMN()-1,4)),UNSPSCCode,0)),IF(INDIRECT(ADDRESS(ROW(),COLUMN()-1,4))="50101538","Verduras frescas",""))</f>
        <v>Verduras frescas</v>
      </c>
      <c r="C722" s="41" t="str">
        <f>IFERROR(VLOOKUP("UD",'[1]Informacion '!P:Q,2,FALSE),"")</f>
        <v>Unidad</v>
      </c>
      <c r="D722" s="39">
        <v>60</v>
      </c>
      <c r="E722" s="42">
        <v>80</v>
      </c>
      <c r="F722" s="43">
        <f t="shared" ca="1" si="35"/>
        <v>4800</v>
      </c>
    </row>
    <row r="723" spans="1:6" x14ac:dyDescent="0.25">
      <c r="A723" s="39" t="s">
        <v>85</v>
      </c>
      <c r="B723" s="40" t="str">
        <f ca="1">IFERROR(INDEX(UNSPSCDes,MATCH(INDIRECT(ADDRESS(ROW(),COLUMN()-1,4)),UNSPSCCode,0)),IF(INDIRECT(ADDRESS(ROW(),COLUMN()-1,4))="50101634","Fruta fresca",""))</f>
        <v>Fruta fresca</v>
      </c>
      <c r="C723" s="41" t="str">
        <f>IFERROR(VLOOKUP("UD",'[1]Informacion '!P:Q,2,FALSE),"")</f>
        <v>Unidad</v>
      </c>
      <c r="D723" s="39">
        <v>300</v>
      </c>
      <c r="E723" s="42">
        <v>10</v>
      </c>
      <c r="F723" s="43">
        <f t="shared" ca="1" si="35"/>
        <v>3000</v>
      </c>
    </row>
    <row r="724" spans="1:6" x14ac:dyDescent="0.25">
      <c r="A724" s="39" t="s">
        <v>83</v>
      </c>
      <c r="B724" s="40" t="str">
        <f t="shared" ref="B724:B732" ca="1" si="36">IFERROR(INDEX(UNSPSCDes,MATCH(INDIRECT(ADDRESS(ROW(),COLUMN()-1,4)),UNSPSCCode,0)),IF(INDIRECT(ADDRESS(ROW(),COLUMN()-1,4))="50101538","Verduras frescas",""))</f>
        <v>Verduras frescas</v>
      </c>
      <c r="C724" s="41" t="str">
        <f>IFERROR(VLOOKUP("LB",'[1]Informacion '!P:Q,2,FALSE),"")</f>
        <v>Libra </v>
      </c>
      <c r="D724" s="39">
        <v>300</v>
      </c>
      <c r="E724" s="42">
        <v>30</v>
      </c>
      <c r="F724" s="43">
        <f t="shared" ca="1" si="35"/>
        <v>9000</v>
      </c>
    </row>
    <row r="725" spans="1:6" x14ac:dyDescent="0.25">
      <c r="A725" s="39" t="s">
        <v>83</v>
      </c>
      <c r="B725" s="40" t="str">
        <f t="shared" ca="1" si="36"/>
        <v>Verduras frescas</v>
      </c>
      <c r="C725" s="41" t="str">
        <f>IFERROR(VLOOKUP("LB",'[1]Informacion '!P:Q,2,FALSE),"")</f>
        <v>Libra </v>
      </c>
      <c r="D725" s="39">
        <v>50</v>
      </c>
      <c r="E725" s="42">
        <v>30</v>
      </c>
      <c r="F725" s="43">
        <f t="shared" ca="1" si="35"/>
        <v>1500</v>
      </c>
    </row>
    <row r="726" spans="1:6" x14ac:dyDescent="0.25">
      <c r="A726" s="39" t="s">
        <v>83</v>
      </c>
      <c r="B726" s="40" t="str">
        <f t="shared" ca="1" si="36"/>
        <v>Verduras frescas</v>
      </c>
      <c r="C726" s="41" t="str">
        <f>IFERROR(VLOOKUP("LB",'[1]Informacion '!P:Q,2,FALSE),"")</f>
        <v>Libra </v>
      </c>
      <c r="D726" s="39">
        <v>250</v>
      </c>
      <c r="E726" s="42">
        <v>25</v>
      </c>
      <c r="F726" s="43">
        <f t="shared" ca="1" si="35"/>
        <v>6250</v>
      </c>
    </row>
    <row r="727" spans="1:6" x14ac:dyDescent="0.25">
      <c r="A727" s="39" t="s">
        <v>83</v>
      </c>
      <c r="B727" s="40" t="str">
        <f t="shared" ca="1" si="36"/>
        <v>Verduras frescas</v>
      </c>
      <c r="C727" s="41" t="str">
        <f>IFERROR(VLOOKUP("LB",'[1]Informacion '!P:Q,2,FALSE),"")</f>
        <v>Libra </v>
      </c>
      <c r="D727" s="39">
        <v>750</v>
      </c>
      <c r="E727" s="42">
        <v>15</v>
      </c>
      <c r="F727" s="43">
        <f t="shared" ca="1" si="35"/>
        <v>11250</v>
      </c>
    </row>
    <row r="728" spans="1:6" x14ac:dyDescent="0.25">
      <c r="A728" s="39" t="s">
        <v>83</v>
      </c>
      <c r="B728" s="40" t="str">
        <f t="shared" ca="1" si="36"/>
        <v>Verduras frescas</v>
      </c>
      <c r="C728" s="41" t="str">
        <f>IFERROR(VLOOKUP("LB",'[1]Informacion '!P:Q,2,FALSE),"")</f>
        <v>Libra </v>
      </c>
      <c r="D728" s="39">
        <v>40</v>
      </c>
      <c r="E728" s="42">
        <v>40</v>
      </c>
      <c r="F728" s="43">
        <f t="shared" ca="1" si="35"/>
        <v>1600</v>
      </c>
    </row>
    <row r="729" spans="1:6" x14ac:dyDescent="0.25">
      <c r="A729" s="39" t="s">
        <v>83</v>
      </c>
      <c r="B729" s="40" t="str">
        <f t="shared" ca="1" si="36"/>
        <v>Verduras frescas</v>
      </c>
      <c r="C729" s="41" t="str">
        <f>IFERROR(VLOOKUP("LB",'[1]Informacion '!P:Q,2,FALSE),"")</f>
        <v>Libra </v>
      </c>
      <c r="D729" s="39">
        <v>300</v>
      </c>
      <c r="E729" s="42">
        <v>35</v>
      </c>
      <c r="F729" s="43">
        <f t="shared" ca="1" si="35"/>
        <v>10500</v>
      </c>
    </row>
    <row r="730" spans="1:6" x14ac:dyDescent="0.25">
      <c r="A730" s="39" t="s">
        <v>83</v>
      </c>
      <c r="B730" s="40" t="str">
        <f t="shared" ca="1" si="36"/>
        <v>Verduras frescas</v>
      </c>
      <c r="C730" s="41" t="str">
        <f>IFERROR(VLOOKUP("LB",'[1]Informacion '!P:Q,2,FALSE),"")</f>
        <v>Libra </v>
      </c>
      <c r="D730" s="39">
        <v>300</v>
      </c>
      <c r="E730" s="42">
        <v>18</v>
      </c>
      <c r="F730" s="43">
        <f t="shared" ca="1" si="35"/>
        <v>5400</v>
      </c>
    </row>
    <row r="731" spans="1:6" x14ac:dyDescent="0.25">
      <c r="A731" s="39" t="s">
        <v>83</v>
      </c>
      <c r="B731" s="40" t="str">
        <f t="shared" ca="1" si="36"/>
        <v>Verduras frescas</v>
      </c>
      <c r="C731" s="41" t="str">
        <f>IFERROR(VLOOKUP("LB",'[1]Informacion '!P:Q,2,FALSE),"")</f>
        <v>Libra </v>
      </c>
      <c r="D731" s="39">
        <v>125</v>
      </c>
      <c r="E731" s="42">
        <v>85</v>
      </c>
      <c r="F731" s="43">
        <f t="shared" ca="1" si="35"/>
        <v>10625</v>
      </c>
    </row>
    <row r="732" spans="1:6" x14ac:dyDescent="0.25">
      <c r="A732" s="39" t="s">
        <v>83</v>
      </c>
      <c r="B732" s="40" t="str">
        <f t="shared" ca="1" si="36"/>
        <v>Verduras frescas</v>
      </c>
      <c r="C732" s="41" t="str">
        <f>IFERROR(VLOOKUP("LB",'[1]Informacion '!P:Q,2,FALSE),"")</f>
        <v>Libra </v>
      </c>
      <c r="D732" s="39">
        <v>500</v>
      </c>
      <c r="E732" s="42">
        <v>45</v>
      </c>
      <c r="F732" s="43">
        <f t="shared" ca="1" si="35"/>
        <v>22500</v>
      </c>
    </row>
    <row r="733" spans="1:6" x14ac:dyDescent="0.25">
      <c r="A733" s="39" t="s">
        <v>86</v>
      </c>
      <c r="B733" s="40" t="str">
        <f ca="1">IFERROR(INDEX(UNSPSCDes,MATCH(INDIRECT(ADDRESS(ROW(),COLUMN()-1,4)),UNSPSCCode,0)),IF(INDIRECT(ADDRESS(ROW(),COLUMN()-1,4))="50131606","Huevos frescos",""))</f>
        <v>Huevos frescos</v>
      </c>
      <c r="C733" s="41" t="str">
        <f>IFERROR(VLOOKUP("UD",'[1]Informacion '!P:Q,2,FALSE),"")</f>
        <v>Unidad</v>
      </c>
      <c r="D733" s="39">
        <v>6000</v>
      </c>
      <c r="E733" s="42">
        <v>6.5</v>
      </c>
      <c r="F733" s="43">
        <f t="shared" ca="1" si="35"/>
        <v>39000</v>
      </c>
    </row>
    <row r="734" spans="1:6" x14ac:dyDescent="0.25">
      <c r="A734" s="39" t="s">
        <v>85</v>
      </c>
      <c r="B734" s="40" t="str">
        <f ca="1">IFERROR(INDEX(UNSPSCDes,MATCH(INDIRECT(ADDRESS(ROW(),COLUMN()-1,4)),UNSPSCCode,0)),IF(INDIRECT(ADDRESS(ROW(),COLUMN()-1,4))="50101634","Fruta fresca",""))</f>
        <v>Fruta fresca</v>
      </c>
      <c r="C734" s="41" t="str">
        <f>IFERROR(VLOOKUP("UD",'[1]Informacion '!P:Q,2,FALSE),"")</f>
        <v>Unidad</v>
      </c>
      <c r="D734" s="39">
        <v>40</v>
      </c>
      <c r="E734" s="42">
        <v>200</v>
      </c>
      <c r="F734" s="43">
        <f t="shared" ca="1" si="35"/>
        <v>8000</v>
      </c>
    </row>
    <row r="735" spans="1:6" x14ac:dyDescent="0.25">
      <c r="A735" s="39" t="s">
        <v>83</v>
      </c>
      <c r="B735" s="40" t="str">
        <f ca="1">IFERROR(INDEX(UNSPSCDes,MATCH(INDIRECT(ADDRESS(ROW(),COLUMN()-1,4)),UNSPSCCode,0)),IF(INDIRECT(ADDRESS(ROW(),COLUMN()-1,4))="50101538","Verduras frescas",""))</f>
        <v>Verduras frescas</v>
      </c>
      <c r="C735" s="41" t="str">
        <f>IFERROR(VLOOKUP("LB",'[1]Informacion '!P:Q,2,FALSE),"")</f>
        <v>Libra </v>
      </c>
      <c r="D735" s="39">
        <v>80</v>
      </c>
      <c r="E735" s="42">
        <v>45</v>
      </c>
      <c r="F735" s="43">
        <f t="shared" ca="1" si="35"/>
        <v>3600</v>
      </c>
    </row>
    <row r="736" spans="1:6" x14ac:dyDescent="0.25">
      <c r="A736" s="39" t="s">
        <v>85</v>
      </c>
      <c r="B736" s="40" t="str">
        <f ca="1">IFERROR(INDEX(UNSPSCDes,MATCH(INDIRECT(ADDRESS(ROW(),COLUMN()-1,4)),UNSPSCCode,0)),IF(INDIRECT(ADDRESS(ROW(),COLUMN()-1,4))="50101634","Fruta fresca",""))</f>
        <v>Fruta fresca</v>
      </c>
      <c r="C736" s="41" t="str">
        <f>IFERROR(VLOOKUP("UD",'[1]Informacion '!P:Q,2,FALSE),"")</f>
        <v>Unidad</v>
      </c>
      <c r="D736" s="39">
        <v>40</v>
      </c>
      <c r="E736" s="42">
        <v>65</v>
      </c>
      <c r="F736" s="43">
        <f t="shared" ca="1" si="35"/>
        <v>2600</v>
      </c>
    </row>
    <row r="737" spans="1:6" x14ac:dyDescent="0.25">
      <c r="A737" s="39" t="s">
        <v>85</v>
      </c>
      <c r="B737" s="40" t="str">
        <f ca="1">IFERROR(INDEX(UNSPSCDes,MATCH(INDIRECT(ADDRESS(ROW(),COLUMN()-1,4)),UNSPSCCode,0)),IF(INDIRECT(ADDRESS(ROW(),COLUMN()-1,4))="50101634","Fruta fresca",""))</f>
        <v>Fruta fresca</v>
      </c>
      <c r="C737" s="41" t="str">
        <f>IFERROR(VLOOKUP("UD",'[1]Informacion '!P:Q,2,FALSE),"")</f>
        <v>Unidad</v>
      </c>
      <c r="D737" s="39">
        <v>500</v>
      </c>
      <c r="E737" s="42">
        <v>12</v>
      </c>
      <c r="F737" s="43">
        <f t="shared" ca="1" si="35"/>
        <v>6000</v>
      </c>
    </row>
    <row r="738" spans="1:6" x14ac:dyDescent="0.25">
      <c r="A738" s="39" t="s">
        <v>85</v>
      </c>
      <c r="B738" s="40" t="str">
        <f ca="1">IFERROR(INDEX(UNSPSCDes,MATCH(INDIRECT(ADDRESS(ROW(),COLUMN()-1,4)),UNSPSCCode,0)),IF(INDIRECT(ADDRESS(ROW(),COLUMN()-1,4))="50101634","Fruta fresca",""))</f>
        <v>Fruta fresca</v>
      </c>
      <c r="C738" s="41" t="str">
        <f>IFERROR(VLOOKUP("UD",'[1]Informacion '!P:Q,2,FALSE),"")</f>
        <v>Unidad</v>
      </c>
      <c r="D738" s="39">
        <v>40</v>
      </c>
      <c r="E738" s="42">
        <v>60</v>
      </c>
      <c r="F738" s="43">
        <f t="shared" ca="1" si="35"/>
        <v>2400</v>
      </c>
    </row>
    <row r="739" spans="1:6" x14ac:dyDescent="0.25">
      <c r="A739" s="39" t="s">
        <v>85</v>
      </c>
      <c r="B739" s="40" t="str">
        <f ca="1">IFERROR(INDEX(UNSPSCDes,MATCH(INDIRECT(ADDRESS(ROW(),COLUMN()-1,4)),UNSPSCCode,0)),IF(INDIRECT(ADDRESS(ROW(),COLUMN()-1,4))="50101634","Fruta fresca",""))</f>
        <v>Fruta fresca</v>
      </c>
      <c r="C739" s="41" t="str">
        <f>IFERROR(VLOOKUP("UD",'[1]Informacion '!P:Q,2,FALSE),"")</f>
        <v>Unidad</v>
      </c>
      <c r="D739" s="39">
        <v>40</v>
      </c>
      <c r="E739" s="42">
        <v>60</v>
      </c>
      <c r="F739" s="43">
        <f t="shared" ca="1" si="35"/>
        <v>2400</v>
      </c>
    </row>
    <row r="740" spans="1:6" x14ac:dyDescent="0.25">
      <c r="A740" s="39" t="s">
        <v>85</v>
      </c>
      <c r="B740" s="40" t="str">
        <f ca="1">IFERROR(INDEX(UNSPSCDes,MATCH(INDIRECT(ADDRESS(ROW(),COLUMN()-1,4)),UNSPSCCode,0)),IF(INDIRECT(ADDRESS(ROW(),COLUMN()-1,4))="50101634","Fruta fresca",""))</f>
        <v>Fruta fresca</v>
      </c>
      <c r="C740" s="41" t="str">
        <f>IFERROR(VLOOKUP("UD",'[1]Informacion '!P:Q,2,FALSE),"")</f>
        <v>Unidad</v>
      </c>
      <c r="D740" s="39">
        <v>2000</v>
      </c>
      <c r="E740" s="42">
        <v>7</v>
      </c>
      <c r="F740" s="43">
        <f t="shared" ca="1" si="35"/>
        <v>14000</v>
      </c>
    </row>
    <row r="741" spans="1:6" x14ac:dyDescent="0.25">
      <c r="A741" s="39" t="s">
        <v>83</v>
      </c>
      <c r="B741" s="40" t="str">
        <f t="shared" ref="B741:B751" ca="1" si="37">IFERROR(INDEX(UNSPSCDes,MATCH(INDIRECT(ADDRESS(ROW(),COLUMN()-1,4)),UNSPSCCode,0)),IF(INDIRECT(ADDRESS(ROW(),COLUMN()-1,4))="50101538","Verduras frescas",""))</f>
        <v>Verduras frescas</v>
      </c>
      <c r="C741" s="41" t="str">
        <f>IFERROR(VLOOKUP("UD",'[1]Informacion '!P:Q,2,FALSE),"")</f>
        <v>Unidad</v>
      </c>
      <c r="D741" s="39">
        <v>500</v>
      </c>
      <c r="E741" s="42">
        <v>16</v>
      </c>
      <c r="F741" s="43">
        <f t="shared" ca="1" si="35"/>
        <v>8000</v>
      </c>
    </row>
    <row r="742" spans="1:6" x14ac:dyDescent="0.25">
      <c r="A742" s="39" t="s">
        <v>83</v>
      </c>
      <c r="B742" s="40" t="str">
        <f t="shared" ca="1" si="37"/>
        <v>Verduras frescas</v>
      </c>
      <c r="C742" s="41" t="str">
        <f>IFERROR(VLOOKUP("UD",'[1]Informacion '!P:Q,2,FALSE),"")</f>
        <v>Unidad</v>
      </c>
      <c r="D742" s="39">
        <v>15000</v>
      </c>
      <c r="E742" s="42">
        <v>7</v>
      </c>
      <c r="F742" s="43">
        <f t="shared" ca="1" si="35"/>
        <v>105000</v>
      </c>
    </row>
    <row r="743" spans="1:6" x14ac:dyDescent="0.25">
      <c r="A743" s="39" t="s">
        <v>83</v>
      </c>
      <c r="B743" s="40" t="str">
        <f t="shared" ca="1" si="37"/>
        <v>Verduras frescas</v>
      </c>
      <c r="C743" s="41" t="str">
        <f>IFERROR(VLOOKUP("UD",'[1]Informacion '!P:Q,2,FALSE),"")</f>
        <v>Unidad</v>
      </c>
      <c r="D743" s="39">
        <v>2000</v>
      </c>
      <c r="E743" s="42">
        <v>16</v>
      </c>
      <c r="F743" s="43">
        <f t="shared" ca="1" si="35"/>
        <v>32000</v>
      </c>
    </row>
    <row r="744" spans="1:6" x14ac:dyDescent="0.25">
      <c r="A744" s="39" t="s">
        <v>83</v>
      </c>
      <c r="B744" s="40" t="str">
        <f t="shared" ca="1" si="37"/>
        <v>Verduras frescas</v>
      </c>
      <c r="C744" s="41" t="str">
        <f>IFERROR(VLOOKUP("LB",'[1]Informacion '!P:Q,2,FALSE),"")</f>
        <v>Libra </v>
      </c>
      <c r="D744" s="39">
        <v>1200</v>
      </c>
      <c r="E744" s="42">
        <v>55</v>
      </c>
      <c r="F744" s="43">
        <f t="shared" ca="1" si="35"/>
        <v>66000</v>
      </c>
    </row>
    <row r="745" spans="1:6" x14ac:dyDescent="0.25">
      <c r="A745" s="39" t="s">
        <v>83</v>
      </c>
      <c r="B745" s="40" t="str">
        <f t="shared" ca="1" si="37"/>
        <v>Verduras frescas</v>
      </c>
      <c r="C745" s="41" t="str">
        <f>IFERROR(VLOOKUP("LB",'[1]Informacion '!P:Q,2,FALSE),"")</f>
        <v>Libra </v>
      </c>
      <c r="D745" s="39">
        <v>1200</v>
      </c>
      <c r="E745" s="42">
        <v>50</v>
      </c>
      <c r="F745" s="43">
        <f t="shared" ca="1" si="35"/>
        <v>60000</v>
      </c>
    </row>
    <row r="746" spans="1:6" x14ac:dyDescent="0.25">
      <c r="A746" s="39" t="s">
        <v>83</v>
      </c>
      <c r="B746" s="40" t="str">
        <f t="shared" ca="1" si="37"/>
        <v>Verduras frescas</v>
      </c>
      <c r="C746" s="41" t="str">
        <f>IFERROR(VLOOKUP("LB",'[1]Informacion '!P:Q,2,FALSE),"")</f>
        <v>Libra </v>
      </c>
      <c r="D746" s="39">
        <v>300</v>
      </c>
      <c r="E746" s="42">
        <v>25</v>
      </c>
      <c r="F746" s="43">
        <f t="shared" ca="1" si="35"/>
        <v>7500</v>
      </c>
    </row>
    <row r="747" spans="1:6" x14ac:dyDescent="0.25">
      <c r="A747" s="39" t="s">
        <v>83</v>
      </c>
      <c r="B747" s="40" t="str">
        <f t="shared" ca="1" si="37"/>
        <v>Verduras frescas</v>
      </c>
      <c r="C747" s="41" t="str">
        <f>IFERROR(VLOOKUP("LB",'[1]Informacion '!P:Q,2,FALSE),"")</f>
        <v>Libra </v>
      </c>
      <c r="D747" s="39">
        <v>300</v>
      </c>
      <c r="E747" s="42">
        <v>25</v>
      </c>
      <c r="F747" s="43">
        <f t="shared" ca="1" si="35"/>
        <v>7500</v>
      </c>
    </row>
    <row r="748" spans="1:6" x14ac:dyDescent="0.25">
      <c r="A748" s="39" t="s">
        <v>83</v>
      </c>
      <c r="B748" s="40" t="str">
        <f t="shared" ca="1" si="37"/>
        <v>Verduras frescas</v>
      </c>
      <c r="C748" s="41" t="str">
        <f>IFERROR(VLOOKUP("LB",'[1]Informacion '!P:Q,2,FALSE),"")</f>
        <v>Libra </v>
      </c>
      <c r="D748" s="39">
        <v>150</v>
      </c>
      <c r="E748" s="42">
        <v>25</v>
      </c>
      <c r="F748" s="43">
        <f t="shared" ca="1" si="35"/>
        <v>3750</v>
      </c>
    </row>
    <row r="749" spans="1:6" x14ac:dyDescent="0.25">
      <c r="A749" s="39" t="s">
        <v>83</v>
      </c>
      <c r="B749" s="40" t="str">
        <f t="shared" ca="1" si="37"/>
        <v>Verduras frescas</v>
      </c>
      <c r="C749" s="41" t="str">
        <f>IFERROR(VLOOKUP("LB",'[1]Informacion '!P:Q,2,FALSE),"")</f>
        <v>Libra </v>
      </c>
      <c r="D749" s="39">
        <v>40</v>
      </c>
      <c r="E749" s="42">
        <v>50</v>
      </c>
      <c r="F749" s="43">
        <f t="shared" ca="1" si="35"/>
        <v>2000</v>
      </c>
    </row>
    <row r="750" spans="1:6" x14ac:dyDescent="0.25">
      <c r="A750" s="39" t="s">
        <v>83</v>
      </c>
      <c r="B750" s="40" t="str">
        <f t="shared" ca="1" si="37"/>
        <v>Verduras frescas</v>
      </c>
      <c r="C750" s="41" t="str">
        <f>IFERROR(VLOOKUP("LB",'[1]Informacion '!P:Q,2,FALSE),"")</f>
        <v>Libra </v>
      </c>
      <c r="D750" s="39">
        <v>800</v>
      </c>
      <c r="E750" s="42">
        <v>50</v>
      </c>
      <c r="F750" s="43">
        <f t="shared" ca="1" si="35"/>
        <v>40000</v>
      </c>
    </row>
    <row r="751" spans="1:6" x14ac:dyDescent="0.25">
      <c r="A751" s="39" t="s">
        <v>83</v>
      </c>
      <c r="B751" s="40" t="str">
        <f t="shared" ca="1" si="37"/>
        <v>Verduras frescas</v>
      </c>
      <c r="C751" s="41" t="str">
        <f>IFERROR(VLOOKUP("LB",'[1]Informacion '!P:Q,2,FALSE),"")</f>
        <v>Libra </v>
      </c>
      <c r="D751" s="39">
        <v>150</v>
      </c>
      <c r="E751" s="42">
        <v>55</v>
      </c>
      <c r="F751" s="43">
        <f t="shared" ca="1" si="35"/>
        <v>8250</v>
      </c>
    </row>
    <row r="752" spans="1:6" ht="18.75" customHeight="1" x14ac:dyDescent="0.25">
      <c r="A752" s="39" t="s">
        <v>87</v>
      </c>
      <c r="B752" s="40" t="str">
        <f ca="1">IFERROR(INDEX(UNSPSCDes,MATCH(INDIRECT(ADDRESS(ROW(),COLUMN()-1,4)),UNSPSCCode,0)),IF(INDIRECT(ADDRESS(ROW(),COLUMN()-1,4))="50171550","Especies o extractos",""))</f>
        <v>Especies o extractos</v>
      </c>
      <c r="C752" s="41" t="str">
        <f>IFERROR(VLOOKUP("LB",'[1]Informacion '!P:Q,2,FALSE),"")</f>
        <v>Libra </v>
      </c>
      <c r="D752" s="39">
        <v>20</v>
      </c>
      <c r="E752" s="42">
        <v>250</v>
      </c>
      <c r="F752" s="43">
        <f t="shared" ca="1" si="35"/>
        <v>5000</v>
      </c>
    </row>
    <row r="753" spans="1:6" ht="16.5" customHeight="1" x14ac:dyDescent="0.25">
      <c r="A753" s="39" t="s">
        <v>87</v>
      </c>
      <c r="B753" s="40" t="str">
        <f ca="1">IFERROR(INDEX(UNSPSCDes,MATCH(INDIRECT(ADDRESS(ROW(),COLUMN()-1,4)),UNSPSCCode,0)),IF(INDIRECT(ADDRESS(ROW(),COLUMN()-1,4))="50171550","Especies o extractos",""))</f>
        <v>Especies o extractos</v>
      </c>
      <c r="C753" s="41" t="str">
        <f>IFERROR(VLOOKUP("LB",'[1]Informacion '!P:Q,2,FALSE),"")</f>
        <v>Libra </v>
      </c>
      <c r="D753" s="39">
        <v>10</v>
      </c>
      <c r="E753" s="42">
        <v>250</v>
      </c>
      <c r="F753" s="43">
        <f t="shared" ca="1" si="35"/>
        <v>2500</v>
      </c>
    </row>
    <row r="754" spans="1:6" x14ac:dyDescent="0.25">
      <c r="A754" s="39" t="s">
        <v>83</v>
      </c>
      <c r="B754" s="40" t="str">
        <f ca="1">IFERROR(INDEX(UNSPSCDes,MATCH(INDIRECT(ADDRESS(ROW(),COLUMN()-1,4)),UNSPSCCode,0)),IF(INDIRECT(ADDRESS(ROW(),COLUMN()-1,4))="50101538","Verduras frescas",""))</f>
        <v>Verduras frescas</v>
      </c>
      <c r="C754" s="41" t="str">
        <f>IFERROR(VLOOKUP("LB",'[1]Informacion '!P:Q,2,FALSE),"")</f>
        <v>Libra </v>
      </c>
      <c r="D754" s="39">
        <v>10</v>
      </c>
      <c r="E754" s="42">
        <v>200</v>
      </c>
      <c r="F754" s="43">
        <f t="shared" ca="1" si="35"/>
        <v>2000</v>
      </c>
    </row>
    <row r="755" spans="1:6" x14ac:dyDescent="0.25">
      <c r="A755" s="39" t="s">
        <v>83</v>
      </c>
      <c r="B755" s="40" t="str">
        <f ca="1">IFERROR(INDEX(UNSPSCDes,MATCH(INDIRECT(ADDRESS(ROW(),COLUMN()-1,4)),UNSPSCCode,0)),IF(INDIRECT(ADDRESS(ROW(),COLUMN()-1,4))="50101538","Verduras frescas",""))</f>
        <v>Verduras frescas</v>
      </c>
      <c r="C755" s="41" t="str">
        <f>IFERROR(VLOOKUP("LB",'[1]Informacion '!P:Q,2,FALSE),"")</f>
        <v>Libra </v>
      </c>
      <c r="D755" s="39">
        <v>20</v>
      </c>
      <c r="E755" s="42">
        <v>45</v>
      </c>
      <c r="F755" s="43">
        <f t="shared" ca="1" si="35"/>
        <v>900</v>
      </c>
    </row>
    <row r="756" spans="1:6" x14ac:dyDescent="0.25">
      <c r="A756" s="46"/>
      <c r="B756" s="46"/>
      <c r="C756" s="46"/>
      <c r="D756" s="46"/>
      <c r="E756" s="44" t="s">
        <v>46</v>
      </c>
      <c r="F756" s="45">
        <f ca="1">SUM(Table19[MONTO TOTAL ESTIMADO])</f>
        <v>579425</v>
      </c>
    </row>
    <row r="757" spans="1:6" ht="15.75" thickBot="1" x14ac:dyDescent="0.3">
      <c r="A757" s="46"/>
      <c r="B757" s="46"/>
      <c r="C757" s="46"/>
      <c r="D757" s="46"/>
      <c r="E757" s="46"/>
      <c r="F757" s="46"/>
    </row>
    <row r="758" spans="1:6" ht="34.5" thickBot="1" x14ac:dyDescent="0.3">
      <c r="A758" s="29" t="s">
        <v>18</v>
      </c>
      <c r="B758" s="29" t="s">
        <v>19</v>
      </c>
      <c r="C758" s="29" t="s">
        <v>20</v>
      </c>
      <c r="D758" s="29" t="s">
        <v>21</v>
      </c>
      <c r="E758" s="29" t="s">
        <v>22</v>
      </c>
      <c r="F758" s="29" t="s">
        <v>23</v>
      </c>
    </row>
    <row r="759" spans="1:6" ht="15.75" thickBot="1" x14ac:dyDescent="0.3">
      <c r="A759" s="30" t="s">
        <v>24</v>
      </c>
      <c r="B759" s="30" t="s">
        <v>82</v>
      </c>
      <c r="C759" s="30" t="s">
        <v>26</v>
      </c>
      <c r="D759" s="30" t="s">
        <v>27</v>
      </c>
      <c r="E759" s="30" t="s">
        <v>28</v>
      </c>
      <c r="F759" s="30" t="s">
        <v>17</v>
      </c>
    </row>
    <row r="760" spans="1:6" ht="15.75" thickBot="1" x14ac:dyDescent="0.3">
      <c r="A760" s="31" t="s">
        <v>29</v>
      </c>
      <c r="B760" s="32" t="s">
        <v>30</v>
      </c>
      <c r="C760" s="33">
        <v>46359</v>
      </c>
      <c r="D760" s="31" t="s">
        <v>31</v>
      </c>
      <c r="E760" s="34" t="s">
        <v>32</v>
      </c>
      <c r="F760" s="35" t="s">
        <v>33</v>
      </c>
    </row>
    <row r="761" spans="1:6" ht="15.75" thickBot="1" x14ac:dyDescent="0.3">
      <c r="A761" s="36"/>
      <c r="B761" s="32" t="s">
        <v>34</v>
      </c>
      <c r="C761" s="37">
        <f>IF(C760="","",IF(AND(MONTH(C760)&gt;=1,MONTH(C760)&lt;=3),1,IF(AND(MONTH(C760)&gt;=4,MONTH(C760)&lt;=6),2,IF(AND(MONTH(C760)&gt;=7,MONTH(C760)&lt;=9),3,4))))</f>
        <v>4</v>
      </c>
      <c r="D761" s="36"/>
      <c r="E761" s="34" t="s">
        <v>35</v>
      </c>
      <c r="F761" s="35"/>
    </row>
    <row r="762" spans="1:6" ht="15.75" thickBot="1" x14ac:dyDescent="0.3">
      <c r="A762" s="36"/>
      <c r="B762" s="32" t="s">
        <v>36</v>
      </c>
      <c r="C762" s="33">
        <v>46362</v>
      </c>
      <c r="D762" s="36"/>
      <c r="E762" s="34" t="s">
        <v>37</v>
      </c>
      <c r="F762" s="35"/>
    </row>
    <row r="763" spans="1:6" ht="15.75" thickBot="1" x14ac:dyDescent="0.3">
      <c r="A763" s="36"/>
      <c r="B763" s="32" t="s">
        <v>34</v>
      </c>
      <c r="C763" s="37">
        <f>IF(C762="","",IF(AND(MONTH(C762)&gt;=1,MONTH(C762)&lt;=3),1,IF(AND(MONTH(C762)&gt;=4,MONTH(C762)&lt;=6),2,IF(AND(MONTH(C762)&gt;=7,MONTH(C762)&lt;=9),3,4))))</f>
        <v>4</v>
      </c>
      <c r="D763" s="36"/>
      <c r="E763" s="34" t="s">
        <v>38</v>
      </c>
      <c r="F763" s="35"/>
    </row>
    <row r="764" spans="1:6" ht="15.75" thickBot="1" x14ac:dyDescent="0.3">
      <c r="A764" s="46"/>
      <c r="B764" s="46"/>
      <c r="C764" s="46"/>
      <c r="D764" s="46"/>
      <c r="E764" s="46"/>
      <c r="F764" s="46"/>
    </row>
    <row r="765" spans="1:6" ht="15.75" thickBot="1" x14ac:dyDescent="0.3">
      <c r="A765" s="38" t="s">
        <v>39</v>
      </c>
      <c r="B765" s="38" t="s">
        <v>40</v>
      </c>
      <c r="C765" s="38" t="s">
        <v>41</v>
      </c>
      <c r="D765" s="38" t="s">
        <v>42</v>
      </c>
      <c r="E765" s="38" t="s">
        <v>43</v>
      </c>
      <c r="F765" s="38" t="s">
        <v>44</v>
      </c>
    </row>
    <row r="766" spans="1:6" x14ac:dyDescent="0.25">
      <c r="A766" s="39" t="s">
        <v>83</v>
      </c>
      <c r="B766" s="40" t="str">
        <f t="shared" ref="B766:B774" ca="1" si="38">IFERROR(INDEX(UNSPSCDes,MATCH(INDIRECT(ADDRESS(ROW(),COLUMN()-1,4)),UNSPSCCode,0)),IF(INDIRECT(ADDRESS(ROW(),COLUMN()-1,4))="50101538","Verduras frescas",""))</f>
        <v>Verduras frescas</v>
      </c>
      <c r="C766" s="41" t="str">
        <f>IFERROR(VLOOKUP("UD",'[1]Informacion '!P:Q,2,FALSE),"")</f>
        <v>Unidad</v>
      </c>
      <c r="D766" s="39">
        <v>800</v>
      </c>
      <c r="E766" s="42">
        <v>20</v>
      </c>
      <c r="F766" s="43">
        <f t="shared" ref="F766:F809" ca="1" si="39">INDIRECT(ADDRESS(ROW(),COLUMN()-2,4))*INDIRECT(ADDRESS(ROW(),COLUMN()-1,4))</f>
        <v>16000</v>
      </c>
    </row>
    <row r="767" spans="1:6" x14ac:dyDescent="0.25">
      <c r="A767" s="39" t="s">
        <v>83</v>
      </c>
      <c r="B767" s="40" t="str">
        <f t="shared" ca="1" si="38"/>
        <v>Verduras frescas</v>
      </c>
      <c r="C767" s="41" t="str">
        <f>IFERROR(VLOOKUP("PAQ",'[1]Informacion '!P:Q,2,FALSE),"")</f>
        <v>Paquete</v>
      </c>
      <c r="D767" s="39">
        <v>40</v>
      </c>
      <c r="E767" s="42">
        <v>60</v>
      </c>
      <c r="F767" s="43">
        <f t="shared" ca="1" si="39"/>
        <v>2400</v>
      </c>
    </row>
    <row r="768" spans="1:6" x14ac:dyDescent="0.25">
      <c r="A768" s="39" t="s">
        <v>83</v>
      </c>
      <c r="B768" s="40" t="str">
        <f t="shared" ca="1" si="38"/>
        <v>Verduras frescas</v>
      </c>
      <c r="C768" s="41" t="str">
        <f>IFERROR(VLOOKUP("LB",'[1]Informacion '!P:Q,2,FALSE),"")</f>
        <v>Libra </v>
      </c>
      <c r="D768" s="39">
        <v>750</v>
      </c>
      <c r="E768" s="42">
        <v>28</v>
      </c>
      <c r="F768" s="43">
        <f t="shared" ca="1" si="39"/>
        <v>21000</v>
      </c>
    </row>
    <row r="769" spans="1:6" x14ac:dyDescent="0.25">
      <c r="A769" s="39" t="s">
        <v>83</v>
      </c>
      <c r="B769" s="40" t="str">
        <f t="shared" ca="1" si="38"/>
        <v>Verduras frescas</v>
      </c>
      <c r="C769" s="41" t="str">
        <f>IFERROR(VLOOKUP("LB",'[1]Informacion '!P:Q,2,FALSE),"")</f>
        <v>Libra </v>
      </c>
      <c r="D769" s="39">
        <v>10</v>
      </c>
      <c r="E769" s="42">
        <v>50</v>
      </c>
      <c r="F769" s="43">
        <f t="shared" ca="1" si="39"/>
        <v>500</v>
      </c>
    </row>
    <row r="770" spans="1:6" x14ac:dyDescent="0.25">
      <c r="A770" s="39" t="s">
        <v>83</v>
      </c>
      <c r="B770" s="40" t="str">
        <f t="shared" ca="1" si="38"/>
        <v>Verduras frescas</v>
      </c>
      <c r="C770" s="41" t="str">
        <f>IFERROR(VLOOKUP("LB",'[1]Informacion '!P:Q,2,FALSE),"")</f>
        <v>Libra </v>
      </c>
      <c r="D770" s="39">
        <v>10</v>
      </c>
      <c r="E770" s="42">
        <v>50</v>
      </c>
      <c r="F770" s="43">
        <f t="shared" ca="1" si="39"/>
        <v>500</v>
      </c>
    </row>
    <row r="771" spans="1:6" x14ac:dyDescent="0.25">
      <c r="A771" s="39" t="s">
        <v>83</v>
      </c>
      <c r="B771" s="40" t="str">
        <f t="shared" ca="1" si="38"/>
        <v>Verduras frescas</v>
      </c>
      <c r="C771" s="41" t="str">
        <f>IFERROR(VLOOKUP("LB",'[1]Informacion '!P:Q,2,FALSE),"")</f>
        <v>Libra </v>
      </c>
      <c r="D771" s="39">
        <v>100</v>
      </c>
      <c r="E771" s="42">
        <v>25</v>
      </c>
      <c r="F771" s="43">
        <f t="shared" ca="1" si="39"/>
        <v>2500</v>
      </c>
    </row>
    <row r="772" spans="1:6" x14ac:dyDescent="0.25">
      <c r="A772" s="39" t="s">
        <v>83</v>
      </c>
      <c r="B772" s="40" t="str">
        <f t="shared" ca="1" si="38"/>
        <v>Verduras frescas</v>
      </c>
      <c r="C772" s="41" t="str">
        <f>IFERROR(VLOOKUP("LB",'[1]Informacion '!P:Q,2,FALSE),"")</f>
        <v>Libra </v>
      </c>
      <c r="D772" s="39">
        <v>300</v>
      </c>
      <c r="E772" s="42">
        <v>15</v>
      </c>
      <c r="F772" s="43">
        <f t="shared" ca="1" si="39"/>
        <v>4500</v>
      </c>
    </row>
    <row r="773" spans="1:6" x14ac:dyDescent="0.25">
      <c r="A773" s="39" t="s">
        <v>83</v>
      </c>
      <c r="B773" s="40" t="str">
        <f t="shared" ca="1" si="38"/>
        <v>Verduras frescas</v>
      </c>
      <c r="C773" s="41" t="str">
        <f>IFERROR(VLOOKUP("PAQ",'[1]Informacion '!P:Q,2,FALSE),"")</f>
        <v>Paquete</v>
      </c>
      <c r="D773" s="39">
        <v>40</v>
      </c>
      <c r="E773" s="42">
        <v>70</v>
      </c>
      <c r="F773" s="43">
        <f t="shared" ca="1" si="39"/>
        <v>2800</v>
      </c>
    </row>
    <row r="774" spans="1:6" x14ac:dyDescent="0.25">
      <c r="A774" s="39" t="s">
        <v>83</v>
      </c>
      <c r="B774" s="40" t="str">
        <f t="shared" ca="1" si="38"/>
        <v>Verduras frescas</v>
      </c>
      <c r="C774" s="41" t="str">
        <f>IFERROR(VLOOKUP("LB",'[1]Informacion '!P:Q,2,FALSE),"")</f>
        <v>Libra </v>
      </c>
      <c r="D774" s="39">
        <v>300</v>
      </c>
      <c r="E774" s="42">
        <v>28</v>
      </c>
      <c r="F774" s="43">
        <f t="shared" ca="1" si="39"/>
        <v>8400</v>
      </c>
    </row>
    <row r="775" spans="1:6" ht="17.25" customHeight="1" x14ac:dyDescent="0.25">
      <c r="A775" s="39" t="s">
        <v>84</v>
      </c>
      <c r="B775" s="40" t="str">
        <f ca="1">IFERROR(INDEX(UNSPSCDes,MATCH(INDIRECT(ADDRESS(ROW(),COLUMN()-1,4)),UNSPSCCode,0)),IF(INDIRECT(ADDRESS(ROW(),COLUMN()-1,4))="50171552","Mezcla para adobar",""))</f>
        <v>Mezcla para adobar</v>
      </c>
      <c r="C775" s="41" t="str">
        <f>IFERROR(VLOOKUP("LB",'[1]Informacion '!P:Q,2,FALSE),"")</f>
        <v>Libra </v>
      </c>
      <c r="D775" s="39">
        <v>20</v>
      </c>
      <c r="E775" s="42">
        <v>300</v>
      </c>
      <c r="F775" s="43">
        <f t="shared" ca="1" si="39"/>
        <v>6000</v>
      </c>
    </row>
    <row r="776" spans="1:6" x14ac:dyDescent="0.25">
      <c r="A776" s="39" t="s">
        <v>83</v>
      </c>
      <c r="B776" s="40" t="str">
        <f ca="1">IFERROR(INDEX(UNSPSCDes,MATCH(INDIRECT(ADDRESS(ROW(),COLUMN()-1,4)),UNSPSCCode,0)),IF(INDIRECT(ADDRESS(ROW(),COLUMN()-1,4))="50101538","Verduras frescas",""))</f>
        <v>Verduras frescas</v>
      </c>
      <c r="C776" s="41" t="str">
        <f>IFERROR(VLOOKUP("UD",'[1]Informacion '!P:Q,2,FALSE),"")</f>
        <v>Unidad</v>
      </c>
      <c r="D776" s="39">
        <v>60</v>
      </c>
      <c r="E776" s="42">
        <v>80</v>
      </c>
      <c r="F776" s="43">
        <f t="shared" ca="1" si="39"/>
        <v>4800</v>
      </c>
    </row>
    <row r="777" spans="1:6" x14ac:dyDescent="0.25">
      <c r="A777" s="39" t="s">
        <v>85</v>
      </c>
      <c r="B777" s="40" t="str">
        <f ca="1">IFERROR(INDEX(UNSPSCDes,MATCH(INDIRECT(ADDRESS(ROW(),COLUMN()-1,4)),UNSPSCCode,0)),IF(INDIRECT(ADDRESS(ROW(),COLUMN()-1,4))="50101634","Fruta fresca",""))</f>
        <v>Fruta fresca</v>
      </c>
      <c r="C777" s="41" t="str">
        <f>IFERROR(VLOOKUP("UD",'[1]Informacion '!P:Q,2,FALSE),"")</f>
        <v>Unidad</v>
      </c>
      <c r="D777" s="39">
        <v>300</v>
      </c>
      <c r="E777" s="42">
        <v>10</v>
      </c>
      <c r="F777" s="43">
        <f t="shared" ca="1" si="39"/>
        <v>3000</v>
      </c>
    </row>
    <row r="778" spans="1:6" x14ac:dyDescent="0.25">
      <c r="A778" s="39" t="s">
        <v>83</v>
      </c>
      <c r="B778" s="40" t="str">
        <f t="shared" ref="B778:B786" ca="1" si="40">IFERROR(INDEX(UNSPSCDes,MATCH(INDIRECT(ADDRESS(ROW(),COLUMN()-1,4)),UNSPSCCode,0)),IF(INDIRECT(ADDRESS(ROW(),COLUMN()-1,4))="50101538","Verduras frescas",""))</f>
        <v>Verduras frescas</v>
      </c>
      <c r="C778" s="41" t="str">
        <f>IFERROR(VLOOKUP("LB",'[1]Informacion '!P:Q,2,FALSE),"")</f>
        <v>Libra </v>
      </c>
      <c r="D778" s="39">
        <v>300</v>
      </c>
      <c r="E778" s="42">
        <v>30</v>
      </c>
      <c r="F778" s="43">
        <f t="shared" ca="1" si="39"/>
        <v>9000</v>
      </c>
    </row>
    <row r="779" spans="1:6" x14ac:dyDescent="0.25">
      <c r="A779" s="39" t="s">
        <v>83</v>
      </c>
      <c r="B779" s="40" t="str">
        <f t="shared" ca="1" si="40"/>
        <v>Verduras frescas</v>
      </c>
      <c r="C779" s="41" t="str">
        <f>IFERROR(VLOOKUP("LB",'[1]Informacion '!P:Q,2,FALSE),"")</f>
        <v>Libra </v>
      </c>
      <c r="D779" s="39">
        <v>50</v>
      </c>
      <c r="E779" s="42">
        <v>30</v>
      </c>
      <c r="F779" s="43">
        <f t="shared" ca="1" si="39"/>
        <v>1500</v>
      </c>
    </row>
    <row r="780" spans="1:6" x14ac:dyDescent="0.25">
      <c r="A780" s="39" t="s">
        <v>83</v>
      </c>
      <c r="B780" s="40" t="str">
        <f t="shared" ca="1" si="40"/>
        <v>Verduras frescas</v>
      </c>
      <c r="C780" s="41" t="str">
        <f>IFERROR(VLOOKUP("LB",'[1]Informacion '!P:Q,2,FALSE),"")</f>
        <v>Libra </v>
      </c>
      <c r="D780" s="39">
        <v>250</v>
      </c>
      <c r="E780" s="42">
        <v>25</v>
      </c>
      <c r="F780" s="43">
        <f t="shared" ca="1" si="39"/>
        <v>6250</v>
      </c>
    </row>
    <row r="781" spans="1:6" x14ac:dyDescent="0.25">
      <c r="A781" s="39" t="s">
        <v>83</v>
      </c>
      <c r="B781" s="40" t="str">
        <f t="shared" ca="1" si="40"/>
        <v>Verduras frescas</v>
      </c>
      <c r="C781" s="41" t="str">
        <f>IFERROR(VLOOKUP("LB",'[1]Informacion '!P:Q,2,FALSE),"")</f>
        <v>Libra </v>
      </c>
      <c r="D781" s="39">
        <v>750</v>
      </c>
      <c r="E781" s="42">
        <v>15</v>
      </c>
      <c r="F781" s="43">
        <f t="shared" ca="1" si="39"/>
        <v>11250</v>
      </c>
    </row>
    <row r="782" spans="1:6" x14ac:dyDescent="0.25">
      <c r="A782" s="39" t="s">
        <v>83</v>
      </c>
      <c r="B782" s="40" t="str">
        <f t="shared" ca="1" si="40"/>
        <v>Verduras frescas</v>
      </c>
      <c r="C782" s="41" t="str">
        <f>IFERROR(VLOOKUP("LB",'[1]Informacion '!P:Q,2,FALSE),"")</f>
        <v>Libra </v>
      </c>
      <c r="D782" s="39">
        <v>40</v>
      </c>
      <c r="E782" s="42">
        <v>40</v>
      </c>
      <c r="F782" s="43">
        <f t="shared" ca="1" si="39"/>
        <v>1600</v>
      </c>
    </row>
    <row r="783" spans="1:6" x14ac:dyDescent="0.25">
      <c r="A783" s="39" t="s">
        <v>83</v>
      </c>
      <c r="B783" s="40" t="str">
        <f t="shared" ca="1" si="40"/>
        <v>Verduras frescas</v>
      </c>
      <c r="C783" s="41" t="str">
        <f>IFERROR(VLOOKUP("LB",'[1]Informacion '!P:Q,2,FALSE),"")</f>
        <v>Libra </v>
      </c>
      <c r="D783" s="39">
        <v>300</v>
      </c>
      <c r="E783" s="42">
        <v>35</v>
      </c>
      <c r="F783" s="43">
        <f t="shared" ca="1" si="39"/>
        <v>10500</v>
      </c>
    </row>
    <row r="784" spans="1:6" x14ac:dyDescent="0.25">
      <c r="A784" s="39" t="s">
        <v>83</v>
      </c>
      <c r="B784" s="40" t="str">
        <f t="shared" ca="1" si="40"/>
        <v>Verduras frescas</v>
      </c>
      <c r="C784" s="41" t="str">
        <f>IFERROR(VLOOKUP("LB",'[1]Informacion '!P:Q,2,FALSE),"")</f>
        <v>Libra </v>
      </c>
      <c r="D784" s="39">
        <v>300</v>
      </c>
      <c r="E784" s="42">
        <v>18</v>
      </c>
      <c r="F784" s="43">
        <f t="shared" ca="1" si="39"/>
        <v>5400</v>
      </c>
    </row>
    <row r="785" spans="1:6" x14ac:dyDescent="0.25">
      <c r="A785" s="39" t="s">
        <v>83</v>
      </c>
      <c r="B785" s="40" t="str">
        <f t="shared" ca="1" si="40"/>
        <v>Verduras frescas</v>
      </c>
      <c r="C785" s="41" t="str">
        <f>IFERROR(VLOOKUP("LB",'[1]Informacion '!P:Q,2,FALSE),"")</f>
        <v>Libra </v>
      </c>
      <c r="D785" s="39">
        <v>125</v>
      </c>
      <c r="E785" s="42">
        <v>85</v>
      </c>
      <c r="F785" s="43">
        <f t="shared" ca="1" si="39"/>
        <v>10625</v>
      </c>
    </row>
    <row r="786" spans="1:6" x14ac:dyDescent="0.25">
      <c r="A786" s="39" t="s">
        <v>83</v>
      </c>
      <c r="B786" s="40" t="str">
        <f t="shared" ca="1" si="40"/>
        <v>Verduras frescas</v>
      </c>
      <c r="C786" s="41" t="str">
        <f>IFERROR(VLOOKUP("LB",'[1]Informacion '!P:Q,2,FALSE),"")</f>
        <v>Libra </v>
      </c>
      <c r="D786" s="39">
        <v>500</v>
      </c>
      <c r="E786" s="42">
        <v>45</v>
      </c>
      <c r="F786" s="43">
        <f t="shared" ca="1" si="39"/>
        <v>22500</v>
      </c>
    </row>
    <row r="787" spans="1:6" x14ac:dyDescent="0.25">
      <c r="A787" s="39" t="s">
        <v>86</v>
      </c>
      <c r="B787" s="40" t="str">
        <f ca="1">IFERROR(INDEX(UNSPSCDes,MATCH(INDIRECT(ADDRESS(ROW(),COLUMN()-1,4)),UNSPSCCode,0)),IF(INDIRECT(ADDRESS(ROW(),COLUMN()-1,4))="50131606","Huevos frescos",""))</f>
        <v>Huevos frescos</v>
      </c>
      <c r="C787" s="41" t="str">
        <f>IFERROR(VLOOKUP("UD",'[1]Informacion '!P:Q,2,FALSE),"")</f>
        <v>Unidad</v>
      </c>
      <c r="D787" s="39">
        <v>6000</v>
      </c>
      <c r="E787" s="42">
        <v>6.5</v>
      </c>
      <c r="F787" s="43">
        <f t="shared" ca="1" si="39"/>
        <v>39000</v>
      </c>
    </row>
    <row r="788" spans="1:6" x14ac:dyDescent="0.25">
      <c r="A788" s="39" t="s">
        <v>85</v>
      </c>
      <c r="B788" s="40" t="str">
        <f ca="1">IFERROR(INDEX(UNSPSCDes,MATCH(INDIRECT(ADDRESS(ROW(),COLUMN()-1,4)),UNSPSCCode,0)),IF(INDIRECT(ADDRESS(ROW(),COLUMN()-1,4))="50101634","Fruta fresca",""))</f>
        <v>Fruta fresca</v>
      </c>
      <c r="C788" s="41" t="str">
        <f>IFERROR(VLOOKUP("UD",'[1]Informacion '!P:Q,2,FALSE),"")</f>
        <v>Unidad</v>
      </c>
      <c r="D788" s="39">
        <v>40</v>
      </c>
      <c r="E788" s="42">
        <v>200</v>
      </c>
      <c r="F788" s="43">
        <f t="shared" ca="1" si="39"/>
        <v>8000</v>
      </c>
    </row>
    <row r="789" spans="1:6" x14ac:dyDescent="0.25">
      <c r="A789" s="39" t="s">
        <v>83</v>
      </c>
      <c r="B789" s="40" t="str">
        <f ca="1">IFERROR(INDEX(UNSPSCDes,MATCH(INDIRECT(ADDRESS(ROW(),COLUMN()-1,4)),UNSPSCCode,0)),IF(INDIRECT(ADDRESS(ROW(),COLUMN()-1,4))="50101538","Verduras frescas",""))</f>
        <v>Verduras frescas</v>
      </c>
      <c r="C789" s="41" t="str">
        <f>IFERROR(VLOOKUP("LB",'[1]Informacion '!P:Q,2,FALSE),"")</f>
        <v>Libra </v>
      </c>
      <c r="D789" s="39">
        <v>80</v>
      </c>
      <c r="E789" s="42">
        <v>45</v>
      </c>
      <c r="F789" s="43">
        <f t="shared" ca="1" si="39"/>
        <v>3600</v>
      </c>
    </row>
    <row r="790" spans="1:6" x14ac:dyDescent="0.25">
      <c r="A790" s="39" t="s">
        <v>85</v>
      </c>
      <c r="B790" s="40" t="str">
        <f ca="1">IFERROR(INDEX(UNSPSCDes,MATCH(INDIRECT(ADDRESS(ROW(),COLUMN()-1,4)),UNSPSCCode,0)),IF(INDIRECT(ADDRESS(ROW(),COLUMN()-1,4))="50101634","Fruta fresca",""))</f>
        <v>Fruta fresca</v>
      </c>
      <c r="C790" s="41" t="str">
        <f>IFERROR(VLOOKUP("UD",'[1]Informacion '!P:Q,2,FALSE),"")</f>
        <v>Unidad</v>
      </c>
      <c r="D790" s="39">
        <v>500</v>
      </c>
      <c r="E790" s="42">
        <v>12</v>
      </c>
      <c r="F790" s="43">
        <f t="shared" ca="1" si="39"/>
        <v>6000</v>
      </c>
    </row>
    <row r="791" spans="1:6" x14ac:dyDescent="0.25">
      <c r="A791" s="39" t="s">
        <v>85</v>
      </c>
      <c r="B791" s="40" t="str">
        <f ca="1">IFERROR(INDEX(UNSPSCDes,MATCH(INDIRECT(ADDRESS(ROW(),COLUMN()-1,4)),UNSPSCCode,0)),IF(INDIRECT(ADDRESS(ROW(),COLUMN()-1,4))="50101634","Fruta fresca",""))</f>
        <v>Fruta fresca</v>
      </c>
      <c r="C791" s="41" t="str">
        <f>IFERROR(VLOOKUP("UD",'[1]Informacion '!P:Q,2,FALSE),"")</f>
        <v>Unidad</v>
      </c>
      <c r="D791" s="39">
        <v>40</v>
      </c>
      <c r="E791" s="42">
        <v>60</v>
      </c>
      <c r="F791" s="43">
        <f t="shared" ca="1" si="39"/>
        <v>2400</v>
      </c>
    </row>
    <row r="792" spans="1:6" x14ac:dyDescent="0.25">
      <c r="A792" s="39" t="s">
        <v>85</v>
      </c>
      <c r="B792" s="40" t="str">
        <f ca="1">IFERROR(INDEX(UNSPSCDes,MATCH(INDIRECT(ADDRESS(ROW(),COLUMN()-1,4)),UNSPSCCode,0)),IF(INDIRECT(ADDRESS(ROW(),COLUMN()-1,4))="50101634","Fruta fresca",""))</f>
        <v>Fruta fresca</v>
      </c>
      <c r="C792" s="41" t="str">
        <f>IFERROR(VLOOKUP("UD",'[1]Informacion '!P:Q,2,FALSE),"")</f>
        <v>Unidad</v>
      </c>
      <c r="D792" s="39">
        <v>40</v>
      </c>
      <c r="E792" s="42">
        <v>60</v>
      </c>
      <c r="F792" s="43">
        <f t="shared" ca="1" si="39"/>
        <v>2400</v>
      </c>
    </row>
    <row r="793" spans="1:6" x14ac:dyDescent="0.25">
      <c r="A793" s="39" t="s">
        <v>85</v>
      </c>
      <c r="B793" s="40" t="str">
        <f ca="1">IFERROR(INDEX(UNSPSCDes,MATCH(INDIRECT(ADDRESS(ROW(),COLUMN()-1,4)),UNSPSCCode,0)),IF(INDIRECT(ADDRESS(ROW(),COLUMN()-1,4))="50101634","Fruta fresca",""))</f>
        <v>Fruta fresca</v>
      </c>
      <c r="C793" s="41" t="str">
        <f>IFERROR(VLOOKUP("UD",'[1]Informacion '!P:Q,2,FALSE),"")</f>
        <v>Unidad</v>
      </c>
      <c r="D793" s="39">
        <v>2000</v>
      </c>
      <c r="E793" s="42">
        <v>7</v>
      </c>
      <c r="F793" s="43">
        <f t="shared" ca="1" si="39"/>
        <v>14000</v>
      </c>
    </row>
    <row r="794" spans="1:6" x14ac:dyDescent="0.25">
      <c r="A794" s="39" t="s">
        <v>83</v>
      </c>
      <c r="B794" s="40" t="str">
        <f t="shared" ref="B794:B804" ca="1" si="41">IFERROR(INDEX(UNSPSCDes,MATCH(INDIRECT(ADDRESS(ROW(),COLUMN()-1,4)),UNSPSCCode,0)),IF(INDIRECT(ADDRESS(ROW(),COLUMN()-1,4))="50101538","Verduras frescas",""))</f>
        <v>Verduras frescas</v>
      </c>
      <c r="C794" s="41" t="str">
        <f>IFERROR(VLOOKUP("UD",'[1]Informacion '!P:Q,2,FALSE),"")</f>
        <v>Unidad</v>
      </c>
      <c r="D794" s="39">
        <v>500</v>
      </c>
      <c r="E794" s="42">
        <v>16</v>
      </c>
      <c r="F794" s="43">
        <f t="shared" ca="1" si="39"/>
        <v>8000</v>
      </c>
    </row>
    <row r="795" spans="1:6" x14ac:dyDescent="0.25">
      <c r="A795" s="39" t="s">
        <v>83</v>
      </c>
      <c r="B795" s="40" t="str">
        <f t="shared" ca="1" si="41"/>
        <v>Verduras frescas</v>
      </c>
      <c r="C795" s="41" t="str">
        <f>IFERROR(VLOOKUP("UD",'[1]Informacion '!P:Q,2,FALSE),"")</f>
        <v>Unidad</v>
      </c>
      <c r="D795" s="39">
        <v>15000</v>
      </c>
      <c r="E795" s="42">
        <v>7</v>
      </c>
      <c r="F795" s="43">
        <f t="shared" ca="1" si="39"/>
        <v>105000</v>
      </c>
    </row>
    <row r="796" spans="1:6" x14ac:dyDescent="0.25">
      <c r="A796" s="39" t="s">
        <v>83</v>
      </c>
      <c r="B796" s="40" t="str">
        <f t="shared" ca="1" si="41"/>
        <v>Verduras frescas</v>
      </c>
      <c r="C796" s="41" t="str">
        <f>IFERROR(VLOOKUP("UD",'[1]Informacion '!P:Q,2,FALSE),"")</f>
        <v>Unidad</v>
      </c>
      <c r="D796" s="39">
        <v>2000</v>
      </c>
      <c r="E796" s="42">
        <v>16</v>
      </c>
      <c r="F796" s="43">
        <f t="shared" ca="1" si="39"/>
        <v>32000</v>
      </c>
    </row>
    <row r="797" spans="1:6" x14ac:dyDescent="0.25">
      <c r="A797" s="39" t="s">
        <v>83</v>
      </c>
      <c r="B797" s="40" t="str">
        <f t="shared" ca="1" si="41"/>
        <v>Verduras frescas</v>
      </c>
      <c r="C797" s="41" t="str">
        <f>IFERROR(VLOOKUP("LB",'[1]Informacion '!P:Q,2,FALSE),"")</f>
        <v>Libra </v>
      </c>
      <c r="D797" s="39">
        <v>1200</v>
      </c>
      <c r="E797" s="42">
        <v>55</v>
      </c>
      <c r="F797" s="43">
        <f t="shared" ca="1" si="39"/>
        <v>66000</v>
      </c>
    </row>
    <row r="798" spans="1:6" x14ac:dyDescent="0.25">
      <c r="A798" s="39" t="s">
        <v>83</v>
      </c>
      <c r="B798" s="40" t="str">
        <f t="shared" ca="1" si="41"/>
        <v>Verduras frescas</v>
      </c>
      <c r="C798" s="41" t="str">
        <f>IFERROR(VLOOKUP("LB",'[1]Informacion '!P:Q,2,FALSE),"")</f>
        <v>Libra </v>
      </c>
      <c r="D798" s="39">
        <v>1200</v>
      </c>
      <c r="E798" s="42">
        <v>50</v>
      </c>
      <c r="F798" s="43">
        <f t="shared" ca="1" si="39"/>
        <v>60000</v>
      </c>
    </row>
    <row r="799" spans="1:6" x14ac:dyDescent="0.25">
      <c r="A799" s="39" t="s">
        <v>83</v>
      </c>
      <c r="B799" s="40" t="str">
        <f t="shared" ca="1" si="41"/>
        <v>Verduras frescas</v>
      </c>
      <c r="C799" s="41" t="str">
        <f>IFERROR(VLOOKUP("LB",'[1]Informacion '!P:Q,2,FALSE),"")</f>
        <v>Libra </v>
      </c>
      <c r="D799" s="39">
        <v>300</v>
      </c>
      <c r="E799" s="42">
        <v>25</v>
      </c>
      <c r="F799" s="43">
        <f t="shared" ca="1" si="39"/>
        <v>7500</v>
      </c>
    </row>
    <row r="800" spans="1:6" x14ac:dyDescent="0.25">
      <c r="A800" s="39" t="s">
        <v>83</v>
      </c>
      <c r="B800" s="40" t="str">
        <f t="shared" ca="1" si="41"/>
        <v>Verduras frescas</v>
      </c>
      <c r="C800" s="41" t="str">
        <f>IFERROR(VLOOKUP("LB",'[1]Informacion '!P:Q,2,FALSE),"")</f>
        <v>Libra </v>
      </c>
      <c r="D800" s="39">
        <v>300</v>
      </c>
      <c r="E800" s="42">
        <v>25</v>
      </c>
      <c r="F800" s="43">
        <f t="shared" ca="1" si="39"/>
        <v>7500</v>
      </c>
    </row>
    <row r="801" spans="1:6" x14ac:dyDescent="0.25">
      <c r="A801" s="39" t="s">
        <v>83</v>
      </c>
      <c r="B801" s="40" t="str">
        <f t="shared" ca="1" si="41"/>
        <v>Verduras frescas</v>
      </c>
      <c r="C801" s="41" t="str">
        <f>IFERROR(VLOOKUP("LB",'[1]Informacion '!P:Q,2,FALSE),"")</f>
        <v>Libra </v>
      </c>
      <c r="D801" s="39">
        <v>150</v>
      </c>
      <c r="E801" s="42">
        <v>25</v>
      </c>
      <c r="F801" s="43">
        <f t="shared" ca="1" si="39"/>
        <v>3750</v>
      </c>
    </row>
    <row r="802" spans="1:6" x14ac:dyDescent="0.25">
      <c r="A802" s="39" t="s">
        <v>83</v>
      </c>
      <c r="B802" s="40" t="str">
        <f t="shared" ca="1" si="41"/>
        <v>Verduras frescas</v>
      </c>
      <c r="C802" s="41" t="str">
        <f>IFERROR(VLOOKUP("LB",'[1]Informacion '!P:Q,2,FALSE),"")</f>
        <v>Libra </v>
      </c>
      <c r="D802" s="39">
        <v>40</v>
      </c>
      <c r="E802" s="42">
        <v>50</v>
      </c>
      <c r="F802" s="43">
        <f t="shared" ca="1" si="39"/>
        <v>2000</v>
      </c>
    </row>
    <row r="803" spans="1:6" x14ac:dyDescent="0.25">
      <c r="A803" s="39" t="s">
        <v>83</v>
      </c>
      <c r="B803" s="40" t="str">
        <f t="shared" ca="1" si="41"/>
        <v>Verduras frescas</v>
      </c>
      <c r="C803" s="41" t="str">
        <f>IFERROR(VLOOKUP("LB",'[1]Informacion '!P:Q,2,FALSE),"")</f>
        <v>Libra </v>
      </c>
      <c r="D803" s="39">
        <v>800</v>
      </c>
      <c r="E803" s="42">
        <v>50</v>
      </c>
      <c r="F803" s="43">
        <f t="shared" ca="1" si="39"/>
        <v>40000</v>
      </c>
    </row>
    <row r="804" spans="1:6" x14ac:dyDescent="0.25">
      <c r="A804" s="39" t="s">
        <v>83</v>
      </c>
      <c r="B804" s="40" t="str">
        <f t="shared" ca="1" si="41"/>
        <v>Verduras frescas</v>
      </c>
      <c r="C804" s="41" t="str">
        <f>IFERROR(VLOOKUP("LB",'[1]Informacion '!P:Q,2,FALSE),"")</f>
        <v>Libra </v>
      </c>
      <c r="D804" s="39">
        <v>150</v>
      </c>
      <c r="E804" s="42">
        <v>55</v>
      </c>
      <c r="F804" s="43">
        <f t="shared" ca="1" si="39"/>
        <v>8250</v>
      </c>
    </row>
    <row r="805" spans="1:6" ht="17.25" customHeight="1" x14ac:dyDescent="0.25">
      <c r="A805" s="39" t="s">
        <v>87</v>
      </c>
      <c r="B805" s="40" t="str">
        <f ca="1">IFERROR(INDEX(UNSPSCDes,MATCH(INDIRECT(ADDRESS(ROW(),COLUMN()-1,4)),UNSPSCCode,0)),IF(INDIRECT(ADDRESS(ROW(),COLUMN()-1,4))="50171550","Especies o extractos",""))</f>
        <v>Especies o extractos</v>
      </c>
      <c r="C805" s="41" t="str">
        <f>IFERROR(VLOOKUP("LB",'[1]Informacion '!P:Q,2,FALSE),"")</f>
        <v>Libra </v>
      </c>
      <c r="D805" s="39">
        <v>20</v>
      </c>
      <c r="E805" s="42">
        <v>250</v>
      </c>
      <c r="F805" s="43">
        <f t="shared" ca="1" si="39"/>
        <v>5000</v>
      </c>
    </row>
    <row r="806" spans="1:6" ht="16.5" customHeight="1" x14ac:dyDescent="0.25">
      <c r="A806" s="39" t="s">
        <v>87</v>
      </c>
      <c r="B806" s="40" t="str">
        <f ca="1">IFERROR(INDEX(UNSPSCDes,MATCH(INDIRECT(ADDRESS(ROW(),COLUMN()-1,4)),UNSPSCCode,0)),IF(INDIRECT(ADDRESS(ROW(),COLUMN()-1,4))="50171550","Especies o extractos",""))</f>
        <v>Especies o extractos</v>
      </c>
      <c r="C806" s="41" t="str">
        <f>IFERROR(VLOOKUP("LB",'[1]Informacion '!P:Q,2,FALSE),"")</f>
        <v>Libra </v>
      </c>
      <c r="D806" s="39">
        <v>10</v>
      </c>
      <c r="E806" s="42">
        <v>250</v>
      </c>
      <c r="F806" s="43">
        <f t="shared" ca="1" si="39"/>
        <v>2500</v>
      </c>
    </row>
    <row r="807" spans="1:6" x14ac:dyDescent="0.25">
      <c r="A807" s="39" t="s">
        <v>83</v>
      </c>
      <c r="B807" s="40" t="str">
        <f ca="1">IFERROR(INDEX(UNSPSCDes,MATCH(INDIRECT(ADDRESS(ROW(),COLUMN()-1,4)),UNSPSCCode,0)),IF(INDIRECT(ADDRESS(ROW(),COLUMN()-1,4))="50101538","Verduras frescas",""))</f>
        <v>Verduras frescas</v>
      </c>
      <c r="C807" s="41" t="str">
        <f>IFERROR(VLOOKUP("LB",'[1]Informacion '!P:Q,2,FALSE),"")</f>
        <v>Libra </v>
      </c>
      <c r="D807" s="39">
        <v>10</v>
      </c>
      <c r="E807" s="42">
        <v>200</v>
      </c>
      <c r="F807" s="43">
        <f t="shared" ca="1" si="39"/>
        <v>2000</v>
      </c>
    </row>
    <row r="808" spans="1:6" x14ac:dyDescent="0.25">
      <c r="A808" s="39" t="s">
        <v>83</v>
      </c>
      <c r="B808" s="40" t="str">
        <f ca="1">IFERROR(INDEX(UNSPSCDes,MATCH(INDIRECT(ADDRESS(ROW(),COLUMN()-1,4)),UNSPSCCode,0)),IF(INDIRECT(ADDRESS(ROW(),COLUMN()-1,4))="50101538","Verduras frescas",""))</f>
        <v>Verduras frescas</v>
      </c>
      <c r="C808" s="41" t="str">
        <f>IFERROR(VLOOKUP("LB",'[1]Informacion '!P:Q,2,FALSE),"")</f>
        <v>Libra </v>
      </c>
      <c r="D808" s="39">
        <v>20</v>
      </c>
      <c r="E808" s="42">
        <v>45</v>
      </c>
      <c r="F808" s="43">
        <f t="shared" ca="1" si="39"/>
        <v>900</v>
      </c>
    </row>
    <row r="809" spans="1:6" ht="17.25" customHeight="1" x14ac:dyDescent="0.25">
      <c r="A809" s="39" t="s">
        <v>85</v>
      </c>
      <c r="B809" s="40" t="str">
        <f ca="1">IFERROR(INDEX(UNSPSCDes,MATCH(INDIRECT(ADDRESS(ROW(),COLUMN()-1,4)),UNSPSCCode,0)),IF(INDIRECT(ADDRESS(ROW(),COLUMN()-1,4))="50101634","Fruta fresca",""))</f>
        <v>Fruta fresca</v>
      </c>
      <c r="C809" s="41" t="str">
        <f>IFERROR(VLOOKUP("UD",'[1]Informacion '!P:Q,2,FALSE),"")</f>
        <v>Unidad</v>
      </c>
      <c r="D809" s="39">
        <v>40</v>
      </c>
      <c r="E809" s="42">
        <v>65</v>
      </c>
      <c r="F809" s="43">
        <f t="shared" ca="1" si="39"/>
        <v>2600</v>
      </c>
    </row>
    <row r="810" spans="1:6" x14ac:dyDescent="0.25">
      <c r="A810" s="46"/>
      <c r="B810" s="46"/>
      <c r="C810" s="46"/>
      <c r="D810" s="46"/>
      <c r="E810" s="44" t="s">
        <v>46</v>
      </c>
      <c r="F810" s="45">
        <f ca="1">SUM(Table20[MONTO TOTAL ESTIMADO])</f>
        <v>579425</v>
      </c>
    </row>
    <row r="811" spans="1:6" ht="15.75" thickBot="1" x14ac:dyDescent="0.3">
      <c r="A811" s="46"/>
      <c r="B811" s="46"/>
      <c r="C811" s="46"/>
      <c r="D811" s="46"/>
      <c r="E811" s="46"/>
      <c r="F811" s="46"/>
    </row>
    <row r="812" spans="1:6" ht="34.5" thickBot="1" x14ac:dyDescent="0.3">
      <c r="A812" s="29" t="s">
        <v>18</v>
      </c>
      <c r="B812" s="29" t="s">
        <v>19</v>
      </c>
      <c r="C812" s="29" t="s">
        <v>20</v>
      </c>
      <c r="D812" s="29" t="s">
        <v>21</v>
      </c>
      <c r="E812" s="29" t="s">
        <v>22</v>
      </c>
      <c r="F812" s="29" t="s">
        <v>23</v>
      </c>
    </row>
    <row r="813" spans="1:6" ht="15.75" thickBot="1" x14ac:dyDescent="0.3">
      <c r="A813" s="30" t="s">
        <v>88</v>
      </c>
      <c r="B813" s="30" t="s">
        <v>89</v>
      </c>
      <c r="C813" s="30" t="s">
        <v>26</v>
      </c>
      <c r="D813" s="30" t="s">
        <v>90</v>
      </c>
      <c r="E813" s="30" t="s">
        <v>28</v>
      </c>
      <c r="F813" s="30" t="s">
        <v>17</v>
      </c>
    </row>
    <row r="814" spans="1:6" ht="15.75" thickBot="1" x14ac:dyDescent="0.3">
      <c r="A814" s="31" t="s">
        <v>29</v>
      </c>
      <c r="B814" s="32" t="s">
        <v>30</v>
      </c>
      <c r="C814" s="33">
        <v>46176</v>
      </c>
      <c r="D814" s="31" t="s">
        <v>31</v>
      </c>
      <c r="E814" s="34" t="s">
        <v>32</v>
      </c>
      <c r="F814" s="35" t="s">
        <v>33</v>
      </c>
    </row>
    <row r="815" spans="1:6" ht="15.75" thickBot="1" x14ac:dyDescent="0.3">
      <c r="A815" s="36"/>
      <c r="B815" s="32" t="s">
        <v>34</v>
      </c>
      <c r="C815" s="37">
        <f>IF(C814="","",IF(AND(MONTH(C814)&gt;=1,MONTH(C814)&lt;=3),1,IF(AND(MONTH(C814)&gt;=4,MONTH(C814)&lt;=6),2,IF(AND(MONTH(C814)&gt;=7,MONTH(C814)&lt;=9),3,4))))</f>
        <v>2</v>
      </c>
      <c r="D815" s="36"/>
      <c r="E815" s="34" t="s">
        <v>35</v>
      </c>
      <c r="F815" s="35"/>
    </row>
    <row r="816" spans="1:6" ht="15.75" thickBot="1" x14ac:dyDescent="0.3">
      <c r="A816" s="36"/>
      <c r="B816" s="32" t="s">
        <v>36</v>
      </c>
      <c r="C816" s="33">
        <v>46179</v>
      </c>
      <c r="D816" s="36"/>
      <c r="E816" s="34" t="s">
        <v>37</v>
      </c>
      <c r="F816" s="35"/>
    </row>
    <row r="817" spans="1:6" ht="15.75" thickBot="1" x14ac:dyDescent="0.3">
      <c r="A817" s="36"/>
      <c r="B817" s="32" t="s">
        <v>34</v>
      </c>
      <c r="C817" s="37">
        <f>IF(C816="","",IF(AND(MONTH(C816)&gt;=1,MONTH(C816)&lt;=3),1,IF(AND(MONTH(C816)&gt;=4,MONTH(C816)&lt;=6),2,IF(AND(MONTH(C816)&gt;=7,MONTH(C816)&lt;=9),3,4))))</f>
        <v>2</v>
      </c>
      <c r="D817" s="36"/>
      <c r="E817" s="34" t="s">
        <v>38</v>
      </c>
      <c r="F817" s="35"/>
    </row>
    <row r="818" spans="1:6" ht="15.75" thickBot="1" x14ac:dyDescent="0.3">
      <c r="A818" s="46"/>
      <c r="B818" s="46"/>
      <c r="C818" s="46"/>
      <c r="D818" s="46"/>
      <c r="E818" s="46"/>
      <c r="F818" s="46"/>
    </row>
    <row r="819" spans="1:6" ht="15.75" thickBot="1" x14ac:dyDescent="0.3">
      <c r="A819" s="38" t="s">
        <v>39</v>
      </c>
      <c r="B819" s="38" t="s">
        <v>40</v>
      </c>
      <c r="C819" s="38" t="s">
        <v>41</v>
      </c>
      <c r="D819" s="38" t="s">
        <v>42</v>
      </c>
      <c r="E819" s="38" t="s">
        <v>43</v>
      </c>
      <c r="F819" s="38" t="s">
        <v>44</v>
      </c>
    </row>
    <row r="820" spans="1:6" x14ac:dyDescent="0.25">
      <c r="A820" s="39" t="s">
        <v>91</v>
      </c>
      <c r="B820" s="40" t="str">
        <f ca="1">IFERROR(INDEX(UNSPSCDes,MATCH(INDIRECT(ADDRESS(ROW(),COLUMN()-1,4)),UNSPSCCode,0)),IF(INDIRECT(ADDRESS(ROW(),COLUMN()-1,4))="50221001","Granos",""))</f>
        <v>Granos</v>
      </c>
      <c r="C820" s="41" t="str">
        <f>IFERROR(VLOOKUP("UD",'[1]Informacion '!P:Q,2,FALSE),"")</f>
        <v>Unidad</v>
      </c>
      <c r="D820" s="39">
        <v>350</v>
      </c>
      <c r="E820" s="42">
        <v>92</v>
      </c>
      <c r="F820" s="43">
        <f ca="1">INDIRECT(ADDRESS(ROW(),COLUMN()-2,4))*INDIRECT(ADDRESS(ROW(),COLUMN()-1,4))</f>
        <v>32200</v>
      </c>
    </row>
    <row r="821" spans="1:6" x14ac:dyDescent="0.25">
      <c r="A821" s="39" t="s">
        <v>91</v>
      </c>
      <c r="B821" s="40" t="str">
        <f ca="1">IFERROR(INDEX(UNSPSCDes,MATCH(INDIRECT(ADDRESS(ROW(),COLUMN()-1,4)),UNSPSCCode,0)),IF(INDIRECT(ADDRESS(ROW(),COLUMN()-1,4))="50221001","Granos",""))</f>
        <v>Granos</v>
      </c>
      <c r="C821" s="41" t="str">
        <f>IFERROR(VLOOKUP("UD",'[1]Informacion '!P:Q,2,FALSE),"")</f>
        <v>Unidad</v>
      </c>
      <c r="D821" s="39">
        <v>225</v>
      </c>
      <c r="E821" s="42">
        <v>112</v>
      </c>
      <c r="F821" s="43">
        <f ca="1">INDIRECT(ADDRESS(ROW(),COLUMN()-2,4))*INDIRECT(ADDRESS(ROW(),COLUMN()-1,4))</f>
        <v>25200</v>
      </c>
    </row>
    <row r="822" spans="1:6" x14ac:dyDescent="0.25">
      <c r="A822" s="39" t="s">
        <v>91</v>
      </c>
      <c r="B822" s="40" t="str">
        <f ca="1">IFERROR(INDEX(UNSPSCDes,MATCH(INDIRECT(ADDRESS(ROW(),COLUMN()-1,4)),UNSPSCCode,0)),IF(INDIRECT(ADDRESS(ROW(),COLUMN()-1,4))="50221001","Granos",""))</f>
        <v>Granos</v>
      </c>
      <c r="C822" s="41" t="str">
        <f>IFERROR(VLOOKUP("UD",'[1]Informacion '!P:Q,2,FALSE),"")</f>
        <v>Unidad</v>
      </c>
      <c r="D822" s="39">
        <v>105</v>
      </c>
      <c r="E822" s="42">
        <v>112</v>
      </c>
      <c r="F822" s="43">
        <f ca="1">INDIRECT(ADDRESS(ROW(),COLUMN()-2,4))*INDIRECT(ADDRESS(ROW(),COLUMN()-1,4))</f>
        <v>11760</v>
      </c>
    </row>
    <row r="823" spans="1:6" x14ac:dyDescent="0.25">
      <c r="A823" s="39" t="s">
        <v>91</v>
      </c>
      <c r="B823" s="40" t="str">
        <f ca="1">IFERROR(INDEX(UNSPSCDes,MATCH(INDIRECT(ADDRESS(ROW(),COLUMN()-1,4)),UNSPSCCode,0)),IF(INDIRECT(ADDRESS(ROW(),COLUMN()-1,4))="50221001","Granos",""))</f>
        <v>Granos</v>
      </c>
      <c r="C823" s="41" t="str">
        <f>IFERROR(VLOOKUP("UD",'[1]Informacion '!P:Q,2,FALSE),"")</f>
        <v>Unidad</v>
      </c>
      <c r="D823" s="39">
        <v>100</v>
      </c>
      <c r="E823" s="42">
        <v>88</v>
      </c>
      <c r="F823" s="43">
        <f ca="1">INDIRECT(ADDRESS(ROW(),COLUMN()-2,4))*INDIRECT(ADDRESS(ROW(),COLUMN()-1,4))</f>
        <v>8800</v>
      </c>
    </row>
    <row r="824" spans="1:6" x14ac:dyDescent="0.25">
      <c r="A824" s="39" t="s">
        <v>91</v>
      </c>
      <c r="B824" s="40" t="str">
        <f ca="1">IFERROR(INDEX(UNSPSCDes,MATCH(INDIRECT(ADDRESS(ROW(),COLUMN()-1,4)),UNSPSCCode,0)),IF(INDIRECT(ADDRESS(ROW(),COLUMN()-1,4))="50221001","Granos",""))</f>
        <v>Granos</v>
      </c>
      <c r="C824" s="41" t="str">
        <f>IFERROR(VLOOKUP("UD",'[1]Informacion '!P:Q,2,FALSE),"")</f>
        <v>Unidad</v>
      </c>
      <c r="D824" s="39">
        <v>100</v>
      </c>
      <c r="E824" s="42">
        <v>87</v>
      </c>
      <c r="F824" s="43">
        <f ca="1">INDIRECT(ADDRESS(ROW(),COLUMN()-2,4))*INDIRECT(ADDRESS(ROW(),COLUMN()-1,4))</f>
        <v>8700</v>
      </c>
    </row>
    <row r="825" spans="1:6" x14ac:dyDescent="0.25">
      <c r="A825" s="46"/>
      <c r="B825" s="46"/>
      <c r="C825" s="46"/>
      <c r="D825" s="46"/>
      <c r="E825" s="44" t="s">
        <v>46</v>
      </c>
      <c r="F825" s="45">
        <f ca="1">SUM(Table21[MONTO TOTAL ESTIMADO])</f>
        <v>86660</v>
      </c>
    </row>
    <row r="826" spans="1:6" ht="15.75" thickBot="1" x14ac:dyDescent="0.3">
      <c r="A826" s="46"/>
      <c r="B826" s="46"/>
      <c r="C826" s="46"/>
      <c r="D826" s="46"/>
      <c r="E826" s="46"/>
      <c r="F826" s="46"/>
    </row>
    <row r="827" spans="1:6" ht="34.5" thickBot="1" x14ac:dyDescent="0.3">
      <c r="A827" s="29" t="s">
        <v>18</v>
      </c>
      <c r="B827" s="29" t="s">
        <v>19</v>
      </c>
      <c r="C827" s="29" t="s">
        <v>20</v>
      </c>
      <c r="D827" s="29" t="s">
        <v>21</v>
      </c>
      <c r="E827" s="29" t="s">
        <v>22</v>
      </c>
      <c r="F827" s="29" t="s">
        <v>23</v>
      </c>
    </row>
    <row r="828" spans="1:6" ht="15.75" thickBot="1" x14ac:dyDescent="0.3">
      <c r="A828" s="30" t="s">
        <v>88</v>
      </c>
      <c r="B828" s="30" t="s">
        <v>89</v>
      </c>
      <c r="C828" s="30" t="s">
        <v>26</v>
      </c>
      <c r="D828" s="30" t="s">
        <v>90</v>
      </c>
      <c r="E828" s="30" t="s">
        <v>28</v>
      </c>
      <c r="F828" s="30" t="s">
        <v>17</v>
      </c>
    </row>
    <row r="829" spans="1:6" ht="15.75" thickBot="1" x14ac:dyDescent="0.3">
      <c r="A829" s="31" t="s">
        <v>29</v>
      </c>
      <c r="B829" s="32" t="s">
        <v>30</v>
      </c>
      <c r="C829" s="33">
        <v>46204</v>
      </c>
      <c r="D829" s="31" t="s">
        <v>31</v>
      </c>
      <c r="E829" s="34" t="s">
        <v>32</v>
      </c>
      <c r="F829" s="35" t="s">
        <v>33</v>
      </c>
    </row>
    <row r="830" spans="1:6" ht="15.75" thickBot="1" x14ac:dyDescent="0.3">
      <c r="A830" s="36"/>
      <c r="B830" s="32" t="s">
        <v>34</v>
      </c>
      <c r="C830" s="37">
        <f>IF(C829="","",IF(AND(MONTH(C829)&gt;=1,MONTH(C829)&lt;=3),1,IF(AND(MONTH(C829)&gt;=4,MONTH(C829)&lt;=6),2,IF(AND(MONTH(C829)&gt;=7,MONTH(C829)&lt;=9),3,4))))</f>
        <v>3</v>
      </c>
      <c r="D830" s="36"/>
      <c r="E830" s="34" t="s">
        <v>35</v>
      </c>
      <c r="F830" s="35"/>
    </row>
    <row r="831" spans="1:6" ht="15.75" thickBot="1" x14ac:dyDescent="0.3">
      <c r="A831" s="36"/>
      <c r="B831" s="32" t="s">
        <v>36</v>
      </c>
      <c r="C831" s="33">
        <v>46207</v>
      </c>
      <c r="D831" s="36"/>
      <c r="E831" s="34" t="s">
        <v>37</v>
      </c>
      <c r="F831" s="35"/>
    </row>
    <row r="832" spans="1:6" ht="15.75" thickBot="1" x14ac:dyDescent="0.3">
      <c r="A832" s="36"/>
      <c r="B832" s="32" t="s">
        <v>34</v>
      </c>
      <c r="C832" s="37">
        <f>IF(C831="","",IF(AND(MONTH(C831)&gt;=1,MONTH(C831)&lt;=3),1,IF(AND(MONTH(C831)&gt;=4,MONTH(C831)&lt;=6),2,IF(AND(MONTH(C831)&gt;=7,MONTH(C831)&lt;=9),3,4))))</f>
        <v>3</v>
      </c>
      <c r="D832" s="36"/>
      <c r="E832" s="34" t="s">
        <v>38</v>
      </c>
      <c r="F832" s="35"/>
    </row>
    <row r="833" spans="1:6" ht="15.75" thickBot="1" x14ac:dyDescent="0.3">
      <c r="A833" s="46"/>
      <c r="B833" s="46"/>
      <c r="C833" s="46"/>
      <c r="D833" s="46"/>
      <c r="E833" s="46"/>
      <c r="F833" s="46"/>
    </row>
    <row r="834" spans="1:6" ht="15.75" thickBot="1" x14ac:dyDescent="0.3">
      <c r="A834" s="38" t="s">
        <v>39</v>
      </c>
      <c r="B834" s="38" t="s">
        <v>40</v>
      </c>
      <c r="C834" s="38" t="s">
        <v>41</v>
      </c>
      <c r="D834" s="38" t="s">
        <v>42</v>
      </c>
      <c r="E834" s="38" t="s">
        <v>43</v>
      </c>
      <c r="F834" s="38" t="s">
        <v>44</v>
      </c>
    </row>
    <row r="835" spans="1:6" x14ac:dyDescent="0.25">
      <c r="A835" s="39" t="s">
        <v>91</v>
      </c>
      <c r="B835" s="40" t="str">
        <f ca="1">IFERROR(INDEX(UNSPSCDes,MATCH(INDIRECT(ADDRESS(ROW(),COLUMN()-1,4)),UNSPSCCode,0)),IF(INDIRECT(ADDRESS(ROW(),COLUMN()-1,4))="50221001","Granos",""))</f>
        <v>Granos</v>
      </c>
      <c r="C835" s="41" t="str">
        <f>IFERROR(VLOOKUP("UD",'[1]Informacion '!P:Q,2,FALSE),"")</f>
        <v>Unidad</v>
      </c>
      <c r="D835" s="39">
        <v>350</v>
      </c>
      <c r="E835" s="42">
        <v>92</v>
      </c>
      <c r="F835" s="43">
        <f ca="1">INDIRECT(ADDRESS(ROW(),COLUMN()-2,4))*INDIRECT(ADDRESS(ROW(),COLUMN()-1,4))</f>
        <v>32200</v>
      </c>
    </row>
    <row r="836" spans="1:6" x14ac:dyDescent="0.25">
      <c r="A836" s="39" t="s">
        <v>91</v>
      </c>
      <c r="B836" s="40" t="str">
        <f ca="1">IFERROR(INDEX(UNSPSCDes,MATCH(INDIRECT(ADDRESS(ROW(),COLUMN()-1,4)),UNSPSCCode,0)),IF(INDIRECT(ADDRESS(ROW(),COLUMN()-1,4))="50221001","Granos",""))</f>
        <v>Granos</v>
      </c>
      <c r="C836" s="41" t="str">
        <f>IFERROR(VLOOKUP("UD",'[1]Informacion '!P:Q,2,FALSE),"")</f>
        <v>Unidad</v>
      </c>
      <c r="D836" s="39">
        <v>225</v>
      </c>
      <c r="E836" s="42">
        <v>112</v>
      </c>
      <c r="F836" s="43">
        <f ca="1">INDIRECT(ADDRESS(ROW(),COLUMN()-2,4))*INDIRECT(ADDRESS(ROW(),COLUMN()-1,4))</f>
        <v>25200</v>
      </c>
    </row>
    <row r="837" spans="1:6" x14ac:dyDescent="0.25">
      <c r="A837" s="39" t="s">
        <v>91</v>
      </c>
      <c r="B837" s="40" t="str">
        <f ca="1">IFERROR(INDEX(UNSPSCDes,MATCH(INDIRECT(ADDRESS(ROW(),COLUMN()-1,4)),UNSPSCCode,0)),IF(INDIRECT(ADDRESS(ROW(),COLUMN()-1,4))="50221001","Granos",""))</f>
        <v>Granos</v>
      </c>
      <c r="C837" s="41" t="str">
        <f>IFERROR(VLOOKUP("UD",'[1]Informacion '!P:Q,2,FALSE),"")</f>
        <v>Unidad</v>
      </c>
      <c r="D837" s="39">
        <v>105</v>
      </c>
      <c r="E837" s="42">
        <v>112</v>
      </c>
      <c r="F837" s="43">
        <f ca="1">INDIRECT(ADDRESS(ROW(),COLUMN()-2,4))*INDIRECT(ADDRESS(ROW(),COLUMN()-1,4))</f>
        <v>11760</v>
      </c>
    </row>
    <row r="838" spans="1:6" x14ac:dyDescent="0.25">
      <c r="A838" s="39" t="s">
        <v>91</v>
      </c>
      <c r="B838" s="40" t="str">
        <f ca="1">IFERROR(INDEX(UNSPSCDes,MATCH(INDIRECT(ADDRESS(ROW(),COLUMN()-1,4)),UNSPSCCode,0)),IF(INDIRECT(ADDRESS(ROW(),COLUMN()-1,4))="50221001","Granos",""))</f>
        <v>Granos</v>
      </c>
      <c r="C838" s="41" t="str">
        <f>IFERROR(VLOOKUP("UD",'[1]Informacion '!P:Q,2,FALSE),"")</f>
        <v>Unidad</v>
      </c>
      <c r="D838" s="39">
        <v>100</v>
      </c>
      <c r="E838" s="42">
        <v>88</v>
      </c>
      <c r="F838" s="43">
        <f ca="1">INDIRECT(ADDRESS(ROW(),COLUMN()-2,4))*INDIRECT(ADDRESS(ROW(),COLUMN()-1,4))</f>
        <v>8800</v>
      </c>
    </row>
    <row r="839" spans="1:6" x14ac:dyDescent="0.25">
      <c r="A839" s="39" t="s">
        <v>91</v>
      </c>
      <c r="B839" s="40" t="str">
        <f ca="1">IFERROR(INDEX(UNSPSCDes,MATCH(INDIRECT(ADDRESS(ROW(),COLUMN()-1,4)),UNSPSCCode,0)),IF(INDIRECT(ADDRESS(ROW(),COLUMN()-1,4))="50221001","Granos",""))</f>
        <v>Granos</v>
      </c>
      <c r="C839" s="41" t="str">
        <f>IFERROR(VLOOKUP("UD",'[1]Informacion '!P:Q,2,FALSE),"")</f>
        <v>Unidad</v>
      </c>
      <c r="D839" s="39">
        <v>100</v>
      </c>
      <c r="E839" s="42">
        <v>87</v>
      </c>
      <c r="F839" s="43">
        <f ca="1">INDIRECT(ADDRESS(ROW(),COLUMN()-2,4))*INDIRECT(ADDRESS(ROW(),COLUMN()-1,4))</f>
        <v>8700</v>
      </c>
    </row>
    <row r="840" spans="1:6" x14ac:dyDescent="0.25">
      <c r="A840" s="46"/>
      <c r="B840" s="46"/>
      <c r="C840" s="46"/>
      <c r="D840" s="46"/>
      <c r="E840" s="44" t="s">
        <v>46</v>
      </c>
      <c r="F840" s="45">
        <f ca="1">SUM(Table22[MONTO TOTAL ESTIMADO])</f>
        <v>86660</v>
      </c>
    </row>
    <row r="841" spans="1:6" ht="15.75" thickBot="1" x14ac:dyDescent="0.3">
      <c r="A841" s="46"/>
      <c r="B841" s="46"/>
      <c r="C841" s="46"/>
      <c r="D841" s="46"/>
      <c r="E841" s="46"/>
      <c r="F841" s="46"/>
    </row>
    <row r="842" spans="1:6" ht="34.5" thickBot="1" x14ac:dyDescent="0.3">
      <c r="A842" s="29" t="s">
        <v>18</v>
      </c>
      <c r="B842" s="29" t="s">
        <v>19</v>
      </c>
      <c r="C842" s="29" t="s">
        <v>20</v>
      </c>
      <c r="D842" s="29" t="s">
        <v>21</v>
      </c>
      <c r="E842" s="29" t="s">
        <v>22</v>
      </c>
      <c r="F842" s="29" t="s">
        <v>23</v>
      </c>
    </row>
    <row r="843" spans="1:6" ht="15.75" thickBot="1" x14ac:dyDescent="0.3">
      <c r="A843" s="30" t="s">
        <v>88</v>
      </c>
      <c r="B843" s="30" t="s">
        <v>89</v>
      </c>
      <c r="C843" s="30" t="s">
        <v>26</v>
      </c>
      <c r="D843" s="30" t="s">
        <v>90</v>
      </c>
      <c r="E843" s="30" t="s">
        <v>28</v>
      </c>
      <c r="F843" s="30" t="s">
        <v>17</v>
      </c>
    </row>
    <row r="844" spans="1:6" ht="15.75" thickBot="1" x14ac:dyDescent="0.3">
      <c r="A844" s="31" t="s">
        <v>29</v>
      </c>
      <c r="B844" s="32" t="s">
        <v>30</v>
      </c>
      <c r="C844" s="33">
        <v>46235</v>
      </c>
      <c r="D844" s="31" t="s">
        <v>31</v>
      </c>
      <c r="E844" s="34" t="s">
        <v>32</v>
      </c>
      <c r="F844" s="35" t="s">
        <v>33</v>
      </c>
    </row>
    <row r="845" spans="1:6" ht="15.75" thickBot="1" x14ac:dyDescent="0.3">
      <c r="A845" s="36"/>
      <c r="B845" s="32" t="s">
        <v>34</v>
      </c>
      <c r="C845" s="37">
        <f>IF(C844="","",IF(AND(MONTH(C844)&gt;=1,MONTH(C844)&lt;=3),1,IF(AND(MONTH(C844)&gt;=4,MONTH(C844)&lt;=6),2,IF(AND(MONTH(C844)&gt;=7,MONTH(C844)&lt;=9),3,4))))</f>
        <v>3</v>
      </c>
      <c r="D845" s="36"/>
      <c r="E845" s="34" t="s">
        <v>35</v>
      </c>
      <c r="F845" s="35"/>
    </row>
    <row r="846" spans="1:6" ht="15.75" thickBot="1" x14ac:dyDescent="0.3">
      <c r="A846" s="36"/>
      <c r="B846" s="32" t="s">
        <v>36</v>
      </c>
      <c r="C846" s="33">
        <v>46240</v>
      </c>
      <c r="D846" s="36"/>
      <c r="E846" s="34" t="s">
        <v>37</v>
      </c>
      <c r="F846" s="35"/>
    </row>
    <row r="847" spans="1:6" ht="15.75" thickBot="1" x14ac:dyDescent="0.3">
      <c r="A847" s="36"/>
      <c r="B847" s="32" t="s">
        <v>34</v>
      </c>
      <c r="C847" s="37">
        <f>IF(C846="","",IF(AND(MONTH(C846)&gt;=1,MONTH(C846)&lt;=3),1,IF(AND(MONTH(C846)&gt;=4,MONTH(C846)&lt;=6),2,IF(AND(MONTH(C846)&gt;=7,MONTH(C846)&lt;=9),3,4))))</f>
        <v>3</v>
      </c>
      <c r="D847" s="36"/>
      <c r="E847" s="34" t="s">
        <v>38</v>
      </c>
      <c r="F847" s="35"/>
    </row>
    <row r="848" spans="1:6" ht="15.75" thickBot="1" x14ac:dyDescent="0.3">
      <c r="A848" s="46"/>
      <c r="B848" s="46"/>
      <c r="C848" s="46"/>
      <c r="D848" s="46"/>
      <c r="E848" s="46"/>
      <c r="F848" s="46"/>
    </row>
    <row r="849" spans="1:6" ht="15.75" thickBot="1" x14ac:dyDescent="0.3">
      <c r="A849" s="38" t="s">
        <v>39</v>
      </c>
      <c r="B849" s="38" t="s">
        <v>40</v>
      </c>
      <c r="C849" s="38" t="s">
        <v>41</v>
      </c>
      <c r="D849" s="38" t="s">
        <v>42</v>
      </c>
      <c r="E849" s="38" t="s">
        <v>43</v>
      </c>
      <c r="F849" s="38" t="s">
        <v>44</v>
      </c>
    </row>
    <row r="850" spans="1:6" x14ac:dyDescent="0.25">
      <c r="A850" s="39" t="s">
        <v>91</v>
      </c>
      <c r="B850" s="40" t="str">
        <f ca="1">IFERROR(INDEX(UNSPSCDes,MATCH(INDIRECT(ADDRESS(ROW(),COLUMN()-1,4)),UNSPSCCode,0)),IF(INDIRECT(ADDRESS(ROW(),COLUMN()-1,4))="50221001","Granos",""))</f>
        <v>Granos</v>
      </c>
      <c r="C850" s="41" t="str">
        <f>IFERROR(VLOOKUP("UD",'[1]Informacion '!P:Q,2,FALSE),"")</f>
        <v>Unidad</v>
      </c>
      <c r="D850" s="39">
        <v>350</v>
      </c>
      <c r="E850" s="42">
        <v>92</v>
      </c>
      <c r="F850" s="43">
        <f ca="1">INDIRECT(ADDRESS(ROW(),COLUMN()-2,4))*INDIRECT(ADDRESS(ROW(),COLUMN()-1,4))</f>
        <v>32200</v>
      </c>
    </row>
    <row r="851" spans="1:6" x14ac:dyDescent="0.25">
      <c r="A851" s="39" t="s">
        <v>58</v>
      </c>
      <c r="B851" s="40" t="str">
        <f ca="1">IFERROR(INDEX(UNSPSCDes,MATCH(INDIRECT(ADDRESS(ROW(),COLUMN()-1,4)),UNSPSCCode,0)),IF(INDIRECT(ADDRESS(ROW(),COLUMN()-1,4))="50221101","Grano de cereal",""))</f>
        <v>Grano de cereal</v>
      </c>
      <c r="C851" s="41" t="str">
        <f>IFERROR(VLOOKUP("UD",'[1]Informacion '!P:Q,2,FALSE),"")</f>
        <v>Unidad</v>
      </c>
      <c r="D851" s="39">
        <v>225</v>
      </c>
      <c r="E851" s="42">
        <v>112</v>
      </c>
      <c r="F851" s="43">
        <f ca="1">INDIRECT(ADDRESS(ROW(),COLUMN()-2,4))*INDIRECT(ADDRESS(ROW(),COLUMN()-1,4))</f>
        <v>25200</v>
      </c>
    </row>
    <row r="852" spans="1:6" x14ac:dyDescent="0.25">
      <c r="A852" s="39" t="s">
        <v>91</v>
      </c>
      <c r="B852" s="40" t="str">
        <f ca="1">IFERROR(INDEX(UNSPSCDes,MATCH(INDIRECT(ADDRESS(ROW(),COLUMN()-1,4)),UNSPSCCode,0)),IF(INDIRECT(ADDRESS(ROW(),COLUMN()-1,4))="50221001","Granos",""))</f>
        <v>Granos</v>
      </c>
      <c r="C852" s="41" t="str">
        <f>IFERROR(VLOOKUP("UD",'[1]Informacion '!P:Q,2,FALSE),"")</f>
        <v>Unidad</v>
      </c>
      <c r="D852" s="39">
        <v>105</v>
      </c>
      <c r="E852" s="42">
        <v>112</v>
      </c>
      <c r="F852" s="43">
        <f ca="1">INDIRECT(ADDRESS(ROW(),COLUMN()-2,4))*INDIRECT(ADDRESS(ROW(),COLUMN()-1,4))</f>
        <v>11760</v>
      </c>
    </row>
    <row r="853" spans="1:6" x14ac:dyDescent="0.25">
      <c r="A853" s="39" t="s">
        <v>91</v>
      </c>
      <c r="B853" s="40" t="str">
        <f ca="1">IFERROR(INDEX(UNSPSCDes,MATCH(INDIRECT(ADDRESS(ROW(),COLUMN()-1,4)),UNSPSCCode,0)),IF(INDIRECT(ADDRESS(ROW(),COLUMN()-1,4))="50221001","Granos",""))</f>
        <v>Granos</v>
      </c>
      <c r="C853" s="41" t="str">
        <f>IFERROR(VLOOKUP("UD",'[1]Informacion '!P:Q,2,FALSE),"")</f>
        <v>Unidad</v>
      </c>
      <c r="D853" s="39">
        <v>100</v>
      </c>
      <c r="E853" s="42">
        <v>88</v>
      </c>
      <c r="F853" s="43">
        <f ca="1">INDIRECT(ADDRESS(ROW(),COLUMN()-2,4))*INDIRECT(ADDRESS(ROW(),COLUMN()-1,4))</f>
        <v>8800</v>
      </c>
    </row>
    <row r="854" spans="1:6" x14ac:dyDescent="0.25">
      <c r="A854" s="39" t="s">
        <v>91</v>
      </c>
      <c r="B854" s="40" t="str">
        <f ca="1">IFERROR(INDEX(UNSPSCDes,MATCH(INDIRECT(ADDRESS(ROW(),COLUMN()-1,4)),UNSPSCCode,0)),IF(INDIRECT(ADDRESS(ROW(),COLUMN()-1,4))="50221001","Granos",""))</f>
        <v>Granos</v>
      </c>
      <c r="C854" s="41" t="str">
        <f>IFERROR(VLOOKUP("UD",'[1]Informacion '!P:Q,2,FALSE),"")</f>
        <v>Unidad</v>
      </c>
      <c r="D854" s="39">
        <v>100</v>
      </c>
      <c r="E854" s="42">
        <v>87</v>
      </c>
      <c r="F854" s="43">
        <f ca="1">INDIRECT(ADDRESS(ROW(),COLUMN()-2,4))*INDIRECT(ADDRESS(ROW(),COLUMN()-1,4))</f>
        <v>8700</v>
      </c>
    </row>
    <row r="855" spans="1:6" x14ac:dyDescent="0.25">
      <c r="A855" s="46"/>
      <c r="B855" s="46"/>
      <c r="C855" s="46"/>
      <c r="D855" s="46"/>
      <c r="E855" s="44" t="s">
        <v>46</v>
      </c>
      <c r="F855" s="45">
        <f ca="1">SUM(Table23[MONTO TOTAL ESTIMADO])</f>
        <v>86660</v>
      </c>
    </row>
    <row r="856" spans="1:6" ht="15.75" thickBot="1" x14ac:dyDescent="0.3">
      <c r="A856" s="46"/>
      <c r="B856" s="46"/>
      <c r="C856" s="46"/>
      <c r="D856" s="46"/>
      <c r="E856" s="46"/>
      <c r="F856" s="46"/>
    </row>
    <row r="857" spans="1:6" ht="34.5" thickBot="1" x14ac:dyDescent="0.3">
      <c r="A857" s="29" t="s">
        <v>18</v>
      </c>
      <c r="B857" s="29" t="s">
        <v>19</v>
      </c>
      <c r="C857" s="29" t="s">
        <v>20</v>
      </c>
      <c r="D857" s="29" t="s">
        <v>21</v>
      </c>
      <c r="E857" s="29" t="s">
        <v>22</v>
      </c>
      <c r="F857" s="29" t="s">
        <v>23</v>
      </c>
    </row>
    <row r="858" spans="1:6" ht="15.75" thickBot="1" x14ac:dyDescent="0.3">
      <c r="A858" s="30" t="s">
        <v>88</v>
      </c>
      <c r="B858" s="30" t="s">
        <v>92</v>
      </c>
      <c r="C858" s="30" t="s">
        <v>26</v>
      </c>
      <c r="D858" s="30" t="s">
        <v>90</v>
      </c>
      <c r="E858" s="30" t="s">
        <v>28</v>
      </c>
      <c r="F858" s="30" t="s">
        <v>17</v>
      </c>
    </row>
    <row r="859" spans="1:6" ht="15.75" thickBot="1" x14ac:dyDescent="0.3">
      <c r="A859" s="31" t="s">
        <v>29</v>
      </c>
      <c r="B859" s="32" t="s">
        <v>30</v>
      </c>
      <c r="C859" s="33">
        <v>46267</v>
      </c>
      <c r="D859" s="31" t="s">
        <v>31</v>
      </c>
      <c r="E859" s="34" t="s">
        <v>32</v>
      </c>
      <c r="F859" s="35" t="s">
        <v>33</v>
      </c>
    </row>
    <row r="860" spans="1:6" ht="15.75" thickBot="1" x14ac:dyDescent="0.3">
      <c r="A860" s="36"/>
      <c r="B860" s="32" t="s">
        <v>34</v>
      </c>
      <c r="C860" s="37">
        <f>IF(C859="","",IF(AND(MONTH(C859)&gt;=1,MONTH(C859)&lt;=3),1,IF(AND(MONTH(C859)&gt;=4,MONTH(C859)&lt;=6),2,IF(AND(MONTH(C859)&gt;=7,MONTH(C859)&lt;=9),3,4))))</f>
        <v>3</v>
      </c>
      <c r="D860" s="36"/>
      <c r="E860" s="34" t="s">
        <v>35</v>
      </c>
      <c r="F860" s="35"/>
    </row>
    <row r="861" spans="1:6" ht="15.75" thickBot="1" x14ac:dyDescent="0.3">
      <c r="A861" s="36"/>
      <c r="B861" s="32" t="s">
        <v>36</v>
      </c>
      <c r="C861" s="33">
        <v>46270</v>
      </c>
      <c r="D861" s="36"/>
      <c r="E861" s="34" t="s">
        <v>37</v>
      </c>
      <c r="F861" s="35"/>
    </row>
    <row r="862" spans="1:6" ht="15.75" thickBot="1" x14ac:dyDescent="0.3">
      <c r="A862" s="36"/>
      <c r="B862" s="32" t="s">
        <v>34</v>
      </c>
      <c r="C862" s="37">
        <f>IF(C861="","",IF(AND(MONTH(C861)&gt;=1,MONTH(C861)&lt;=3),1,IF(AND(MONTH(C861)&gt;=4,MONTH(C861)&lt;=6),2,IF(AND(MONTH(C861)&gt;=7,MONTH(C861)&lt;=9),3,4))))</f>
        <v>3</v>
      </c>
      <c r="D862" s="36"/>
      <c r="E862" s="34" t="s">
        <v>38</v>
      </c>
      <c r="F862" s="35"/>
    </row>
    <row r="863" spans="1:6" ht="15.75" thickBot="1" x14ac:dyDescent="0.3">
      <c r="A863" s="46"/>
      <c r="B863" s="46"/>
      <c r="C863" s="46"/>
      <c r="D863" s="46"/>
      <c r="E863" s="46"/>
      <c r="F863" s="46"/>
    </row>
    <row r="864" spans="1:6" ht="15.75" thickBot="1" x14ac:dyDescent="0.3">
      <c r="A864" s="38" t="s">
        <v>39</v>
      </c>
      <c r="B864" s="38" t="s">
        <v>40</v>
      </c>
      <c r="C864" s="38" t="s">
        <v>41</v>
      </c>
      <c r="D864" s="38" t="s">
        <v>42</v>
      </c>
      <c r="E864" s="38" t="s">
        <v>43</v>
      </c>
      <c r="F864" s="38" t="s">
        <v>44</v>
      </c>
    </row>
    <row r="865" spans="1:6" x14ac:dyDescent="0.25">
      <c r="A865" s="39" t="s">
        <v>91</v>
      </c>
      <c r="B865" s="40" t="str">
        <f ca="1">IFERROR(INDEX(UNSPSCDes,MATCH(INDIRECT(ADDRESS(ROW(),COLUMN()-1,4)),UNSPSCCode,0)),IF(INDIRECT(ADDRESS(ROW(),COLUMN()-1,4))="50221001","Granos",""))</f>
        <v>Granos</v>
      </c>
      <c r="C865" s="41" t="str">
        <f>IFERROR(VLOOKUP("UD",'[1]Informacion '!P:Q,2,FALSE),"")</f>
        <v>Unidad</v>
      </c>
      <c r="D865" s="39">
        <v>350</v>
      </c>
      <c r="E865" s="42">
        <v>92</v>
      </c>
      <c r="F865" s="43">
        <f ca="1">INDIRECT(ADDRESS(ROW(),COLUMN()-2,4))*INDIRECT(ADDRESS(ROW(),COLUMN()-1,4))</f>
        <v>32200</v>
      </c>
    </row>
    <row r="866" spans="1:6" x14ac:dyDescent="0.25">
      <c r="A866" s="39" t="s">
        <v>91</v>
      </c>
      <c r="B866" s="40" t="str">
        <f ca="1">IFERROR(INDEX(UNSPSCDes,MATCH(INDIRECT(ADDRESS(ROW(),COLUMN()-1,4)),UNSPSCCode,0)),IF(INDIRECT(ADDRESS(ROW(),COLUMN()-1,4))="50221001","Granos",""))</f>
        <v>Granos</v>
      </c>
      <c r="C866" s="41" t="str">
        <f>IFERROR(VLOOKUP("UD",'[1]Informacion '!P:Q,2,FALSE),"")</f>
        <v>Unidad</v>
      </c>
      <c r="D866" s="39">
        <v>225</v>
      </c>
      <c r="E866" s="42">
        <v>112</v>
      </c>
      <c r="F866" s="43">
        <f ca="1">INDIRECT(ADDRESS(ROW(),COLUMN()-2,4))*INDIRECT(ADDRESS(ROW(),COLUMN()-1,4))</f>
        <v>25200</v>
      </c>
    </row>
    <row r="867" spans="1:6" x14ac:dyDescent="0.25">
      <c r="A867" s="39" t="s">
        <v>91</v>
      </c>
      <c r="B867" s="40" t="str">
        <f ca="1">IFERROR(INDEX(UNSPSCDes,MATCH(INDIRECT(ADDRESS(ROW(),COLUMN()-1,4)),UNSPSCCode,0)),IF(INDIRECT(ADDRESS(ROW(),COLUMN()-1,4))="50221001","Granos",""))</f>
        <v>Granos</v>
      </c>
      <c r="C867" s="41" t="str">
        <f>IFERROR(VLOOKUP("UD",'[1]Informacion '!P:Q,2,FALSE),"")</f>
        <v>Unidad</v>
      </c>
      <c r="D867" s="39">
        <v>105</v>
      </c>
      <c r="E867" s="42">
        <v>112</v>
      </c>
      <c r="F867" s="43">
        <f ca="1">INDIRECT(ADDRESS(ROW(),COLUMN()-2,4))*INDIRECT(ADDRESS(ROW(),COLUMN()-1,4))</f>
        <v>11760</v>
      </c>
    </row>
    <row r="868" spans="1:6" x14ac:dyDescent="0.25">
      <c r="A868" s="39" t="s">
        <v>91</v>
      </c>
      <c r="B868" s="40" t="str">
        <f ca="1">IFERROR(INDEX(UNSPSCDes,MATCH(INDIRECT(ADDRESS(ROW(),COLUMN()-1,4)),UNSPSCCode,0)),IF(INDIRECT(ADDRESS(ROW(),COLUMN()-1,4))="50221001","Granos",""))</f>
        <v>Granos</v>
      </c>
      <c r="C868" s="41" t="str">
        <f>IFERROR(VLOOKUP("UD",'[1]Informacion '!P:Q,2,FALSE),"")</f>
        <v>Unidad</v>
      </c>
      <c r="D868" s="39">
        <v>100</v>
      </c>
      <c r="E868" s="42">
        <v>88</v>
      </c>
      <c r="F868" s="43">
        <f ca="1">INDIRECT(ADDRESS(ROW(),COLUMN()-2,4))*INDIRECT(ADDRESS(ROW(),COLUMN()-1,4))</f>
        <v>8800</v>
      </c>
    </row>
    <row r="869" spans="1:6" x14ac:dyDescent="0.25">
      <c r="A869" s="39" t="s">
        <v>91</v>
      </c>
      <c r="B869" s="40" t="str">
        <f ca="1">IFERROR(INDEX(UNSPSCDes,MATCH(INDIRECT(ADDRESS(ROW(),COLUMN()-1,4)),UNSPSCCode,0)),IF(INDIRECT(ADDRESS(ROW(),COLUMN()-1,4))="50221001","Granos",""))</f>
        <v>Granos</v>
      </c>
      <c r="C869" s="41" t="str">
        <f>IFERROR(VLOOKUP("UD",'[1]Informacion '!P:Q,2,FALSE),"")</f>
        <v>Unidad</v>
      </c>
      <c r="D869" s="39">
        <v>100</v>
      </c>
      <c r="E869" s="42">
        <v>87</v>
      </c>
      <c r="F869" s="43">
        <f ca="1">INDIRECT(ADDRESS(ROW(),COLUMN()-2,4))*INDIRECT(ADDRESS(ROW(),COLUMN()-1,4))</f>
        <v>8700</v>
      </c>
    </row>
    <row r="870" spans="1:6" x14ac:dyDescent="0.25">
      <c r="A870" s="46"/>
      <c r="B870" s="46"/>
      <c r="C870" s="46"/>
      <c r="D870" s="46"/>
      <c r="E870" s="44" t="s">
        <v>46</v>
      </c>
      <c r="F870" s="45">
        <f ca="1">SUM(Table24[MONTO TOTAL ESTIMADO])</f>
        <v>86660</v>
      </c>
    </row>
    <row r="871" spans="1:6" ht="15.75" thickBot="1" x14ac:dyDescent="0.3">
      <c r="A871" s="46"/>
      <c r="B871" s="46"/>
      <c r="C871" s="46"/>
      <c r="D871" s="46"/>
      <c r="E871" s="46"/>
      <c r="F871" s="46"/>
    </row>
    <row r="872" spans="1:6" ht="34.5" thickBot="1" x14ac:dyDescent="0.3">
      <c r="A872" s="29" t="s">
        <v>18</v>
      </c>
      <c r="B872" s="29" t="s">
        <v>19</v>
      </c>
      <c r="C872" s="29" t="s">
        <v>20</v>
      </c>
      <c r="D872" s="29" t="s">
        <v>21</v>
      </c>
      <c r="E872" s="29" t="s">
        <v>22</v>
      </c>
      <c r="F872" s="29" t="s">
        <v>23</v>
      </c>
    </row>
    <row r="873" spans="1:6" ht="15.75" thickBot="1" x14ac:dyDescent="0.3">
      <c r="A873" s="30" t="s">
        <v>88</v>
      </c>
      <c r="B873" s="30" t="s">
        <v>93</v>
      </c>
      <c r="C873" s="30" t="s">
        <v>26</v>
      </c>
      <c r="D873" s="30" t="s">
        <v>90</v>
      </c>
      <c r="E873" s="30" t="s">
        <v>28</v>
      </c>
      <c r="F873" s="30" t="s">
        <v>17</v>
      </c>
    </row>
    <row r="874" spans="1:6" ht="15.75" thickBot="1" x14ac:dyDescent="0.3">
      <c r="A874" s="31" t="s">
        <v>29</v>
      </c>
      <c r="B874" s="32" t="s">
        <v>30</v>
      </c>
      <c r="C874" s="33">
        <v>46296</v>
      </c>
      <c r="D874" s="31" t="s">
        <v>31</v>
      </c>
      <c r="E874" s="34" t="s">
        <v>32</v>
      </c>
      <c r="F874" s="35" t="s">
        <v>33</v>
      </c>
    </row>
    <row r="875" spans="1:6" ht="15.75" thickBot="1" x14ac:dyDescent="0.3">
      <c r="A875" s="36"/>
      <c r="B875" s="32" t="s">
        <v>34</v>
      </c>
      <c r="C875" s="37">
        <f>IF(C874="","",IF(AND(MONTH(C874)&gt;=1,MONTH(C874)&lt;=3),1,IF(AND(MONTH(C874)&gt;=4,MONTH(C874)&lt;=6),2,IF(AND(MONTH(C874)&gt;=7,MONTH(C874)&lt;=9),3,4))))</f>
        <v>4</v>
      </c>
      <c r="D875" s="36"/>
      <c r="E875" s="34" t="s">
        <v>35</v>
      </c>
      <c r="F875" s="35"/>
    </row>
    <row r="876" spans="1:6" ht="15.75" thickBot="1" x14ac:dyDescent="0.3">
      <c r="A876" s="36"/>
      <c r="B876" s="32" t="s">
        <v>36</v>
      </c>
      <c r="C876" s="33">
        <v>46299</v>
      </c>
      <c r="D876" s="36"/>
      <c r="E876" s="34" t="s">
        <v>37</v>
      </c>
      <c r="F876" s="35"/>
    </row>
    <row r="877" spans="1:6" ht="15.75" thickBot="1" x14ac:dyDescent="0.3">
      <c r="A877" s="36"/>
      <c r="B877" s="32" t="s">
        <v>34</v>
      </c>
      <c r="C877" s="37">
        <f>IF(C876="","",IF(AND(MONTH(C876)&gt;=1,MONTH(C876)&lt;=3),1,IF(AND(MONTH(C876)&gt;=4,MONTH(C876)&lt;=6),2,IF(AND(MONTH(C876)&gt;=7,MONTH(C876)&lt;=9),3,4))))</f>
        <v>4</v>
      </c>
      <c r="D877" s="36"/>
      <c r="E877" s="34" t="s">
        <v>38</v>
      </c>
      <c r="F877" s="35"/>
    </row>
    <row r="878" spans="1:6" ht="15.75" thickBot="1" x14ac:dyDescent="0.3">
      <c r="A878" s="46"/>
      <c r="B878" s="46"/>
      <c r="C878" s="46"/>
      <c r="D878" s="46"/>
      <c r="E878" s="46"/>
      <c r="F878" s="46"/>
    </row>
    <row r="879" spans="1:6" ht="15.75" thickBot="1" x14ac:dyDescent="0.3">
      <c r="A879" s="38" t="s">
        <v>39</v>
      </c>
      <c r="B879" s="38" t="s">
        <v>40</v>
      </c>
      <c r="C879" s="38" t="s">
        <v>41</v>
      </c>
      <c r="D879" s="38" t="s">
        <v>42</v>
      </c>
      <c r="E879" s="38" t="s">
        <v>43</v>
      </c>
      <c r="F879" s="38" t="s">
        <v>44</v>
      </c>
    </row>
    <row r="880" spans="1:6" x14ac:dyDescent="0.25">
      <c r="A880" s="39" t="s">
        <v>91</v>
      </c>
      <c r="B880" s="40" t="str">
        <f ca="1">IFERROR(INDEX(UNSPSCDes,MATCH(INDIRECT(ADDRESS(ROW(),COLUMN()-1,4)),UNSPSCCode,0)),IF(INDIRECT(ADDRESS(ROW(),COLUMN()-1,4))="50221001","Granos",""))</f>
        <v>Granos</v>
      </c>
      <c r="C880" s="41" t="str">
        <f>IFERROR(VLOOKUP("UD",'[1]Informacion '!P:Q,2,FALSE),"")</f>
        <v>Unidad</v>
      </c>
      <c r="D880" s="39">
        <v>350</v>
      </c>
      <c r="E880" s="42">
        <v>92</v>
      </c>
      <c r="F880" s="43">
        <f ca="1">INDIRECT(ADDRESS(ROW(),COLUMN()-2,4))*INDIRECT(ADDRESS(ROW(),COLUMN()-1,4))</f>
        <v>32200</v>
      </c>
    </row>
    <row r="881" spans="1:6" x14ac:dyDescent="0.25">
      <c r="A881" s="39" t="s">
        <v>91</v>
      </c>
      <c r="B881" s="40" t="str">
        <f ca="1">IFERROR(INDEX(UNSPSCDes,MATCH(INDIRECT(ADDRESS(ROW(),COLUMN()-1,4)),UNSPSCCode,0)),IF(INDIRECT(ADDRESS(ROW(),COLUMN()-1,4))="50221001","Granos",""))</f>
        <v>Granos</v>
      </c>
      <c r="C881" s="41" t="str">
        <f>IFERROR(VLOOKUP("UD",'[1]Informacion '!P:Q,2,FALSE),"")</f>
        <v>Unidad</v>
      </c>
      <c r="D881" s="39">
        <v>225</v>
      </c>
      <c r="E881" s="42">
        <v>112</v>
      </c>
      <c r="F881" s="43">
        <f ca="1">INDIRECT(ADDRESS(ROW(),COLUMN()-2,4))*INDIRECT(ADDRESS(ROW(),COLUMN()-1,4))</f>
        <v>25200</v>
      </c>
    </row>
    <row r="882" spans="1:6" x14ac:dyDescent="0.25">
      <c r="A882" s="39" t="s">
        <v>91</v>
      </c>
      <c r="B882" s="40" t="str">
        <f ca="1">IFERROR(INDEX(UNSPSCDes,MATCH(INDIRECT(ADDRESS(ROW(),COLUMN()-1,4)),UNSPSCCode,0)),IF(INDIRECT(ADDRESS(ROW(),COLUMN()-1,4))="50221001","Granos",""))</f>
        <v>Granos</v>
      </c>
      <c r="C882" s="41" t="str">
        <f>IFERROR(VLOOKUP("UD",'[1]Informacion '!P:Q,2,FALSE),"")</f>
        <v>Unidad</v>
      </c>
      <c r="D882" s="39">
        <v>105</v>
      </c>
      <c r="E882" s="42">
        <v>112</v>
      </c>
      <c r="F882" s="43">
        <f ca="1">INDIRECT(ADDRESS(ROW(),COLUMN()-2,4))*INDIRECT(ADDRESS(ROW(),COLUMN()-1,4))</f>
        <v>11760</v>
      </c>
    </row>
    <row r="883" spans="1:6" x14ac:dyDescent="0.25">
      <c r="A883" s="39" t="s">
        <v>91</v>
      </c>
      <c r="B883" s="40" t="str">
        <f ca="1">IFERROR(INDEX(UNSPSCDes,MATCH(INDIRECT(ADDRESS(ROW(),COLUMN()-1,4)),UNSPSCCode,0)),IF(INDIRECT(ADDRESS(ROW(),COLUMN()-1,4))="50221001","Granos",""))</f>
        <v>Granos</v>
      </c>
      <c r="C883" s="41" t="str">
        <f>IFERROR(VLOOKUP("UD",'[1]Informacion '!P:Q,2,FALSE),"")</f>
        <v>Unidad</v>
      </c>
      <c r="D883" s="39">
        <v>100</v>
      </c>
      <c r="E883" s="42">
        <v>88</v>
      </c>
      <c r="F883" s="43">
        <f ca="1">INDIRECT(ADDRESS(ROW(),COLUMN()-2,4))*INDIRECT(ADDRESS(ROW(),COLUMN()-1,4))</f>
        <v>8800</v>
      </c>
    </row>
    <row r="884" spans="1:6" x14ac:dyDescent="0.25">
      <c r="A884" s="39" t="s">
        <v>91</v>
      </c>
      <c r="B884" s="40" t="str">
        <f ca="1">IFERROR(INDEX(UNSPSCDes,MATCH(INDIRECT(ADDRESS(ROW(),COLUMN()-1,4)),UNSPSCCode,0)),IF(INDIRECT(ADDRESS(ROW(),COLUMN()-1,4))="50221001","Granos",""))</f>
        <v>Granos</v>
      </c>
      <c r="C884" s="41" t="str">
        <f>IFERROR(VLOOKUP("UD",'[1]Informacion '!P:Q,2,FALSE),"")</f>
        <v>Unidad</v>
      </c>
      <c r="D884" s="39">
        <v>100</v>
      </c>
      <c r="E884" s="42">
        <v>87</v>
      </c>
      <c r="F884" s="43">
        <f ca="1">INDIRECT(ADDRESS(ROW(),COLUMN()-2,4))*INDIRECT(ADDRESS(ROW(),COLUMN()-1,4))</f>
        <v>8700</v>
      </c>
    </row>
    <row r="885" spans="1:6" x14ac:dyDescent="0.25">
      <c r="A885" s="46"/>
      <c r="B885" s="46"/>
      <c r="C885" s="46"/>
      <c r="D885" s="46"/>
      <c r="E885" s="44" t="s">
        <v>46</v>
      </c>
      <c r="F885" s="45">
        <f ca="1">SUM(Table25[MONTO TOTAL ESTIMADO])</f>
        <v>86660</v>
      </c>
    </row>
    <row r="886" spans="1:6" ht="15.75" thickBot="1" x14ac:dyDescent="0.3">
      <c r="A886" s="46"/>
      <c r="B886" s="46"/>
      <c r="C886" s="46"/>
      <c r="D886" s="46"/>
      <c r="E886" s="46"/>
      <c r="F886" s="46"/>
    </row>
    <row r="887" spans="1:6" ht="34.5" thickBot="1" x14ac:dyDescent="0.3">
      <c r="A887" s="29" t="s">
        <v>18</v>
      </c>
      <c r="B887" s="29" t="s">
        <v>19</v>
      </c>
      <c r="C887" s="29" t="s">
        <v>20</v>
      </c>
      <c r="D887" s="29" t="s">
        <v>21</v>
      </c>
      <c r="E887" s="29" t="s">
        <v>22</v>
      </c>
      <c r="F887" s="29" t="s">
        <v>23</v>
      </c>
    </row>
    <row r="888" spans="1:6" ht="15.75" thickBot="1" x14ac:dyDescent="0.3">
      <c r="A888" s="30" t="s">
        <v>88</v>
      </c>
      <c r="B888" s="30" t="s">
        <v>93</v>
      </c>
      <c r="C888" s="30" t="s">
        <v>26</v>
      </c>
      <c r="D888" s="30" t="s">
        <v>90</v>
      </c>
      <c r="E888" s="30" t="s">
        <v>28</v>
      </c>
      <c r="F888" s="30" t="s">
        <v>17</v>
      </c>
    </row>
    <row r="889" spans="1:6" ht="15.75" thickBot="1" x14ac:dyDescent="0.3">
      <c r="A889" s="31" t="s">
        <v>29</v>
      </c>
      <c r="B889" s="32" t="s">
        <v>30</v>
      </c>
      <c r="C889" s="33">
        <v>46330</v>
      </c>
      <c r="D889" s="31" t="s">
        <v>31</v>
      </c>
      <c r="E889" s="34" t="s">
        <v>32</v>
      </c>
      <c r="F889" s="35" t="s">
        <v>33</v>
      </c>
    </row>
    <row r="890" spans="1:6" ht="15.75" thickBot="1" x14ac:dyDescent="0.3">
      <c r="A890" s="36"/>
      <c r="B890" s="32" t="s">
        <v>34</v>
      </c>
      <c r="C890" s="37">
        <f>IF(C889="","",IF(AND(MONTH(C889)&gt;=1,MONTH(C889)&lt;=3),1,IF(AND(MONTH(C889)&gt;=4,MONTH(C889)&lt;=6),2,IF(AND(MONTH(C889)&gt;=7,MONTH(C889)&lt;=9),3,4))))</f>
        <v>4</v>
      </c>
      <c r="D890" s="36"/>
      <c r="E890" s="34" t="s">
        <v>35</v>
      </c>
      <c r="F890" s="35"/>
    </row>
    <row r="891" spans="1:6" ht="15.75" thickBot="1" x14ac:dyDescent="0.3">
      <c r="A891" s="36"/>
      <c r="B891" s="32" t="s">
        <v>36</v>
      </c>
      <c r="C891" s="33">
        <v>46333</v>
      </c>
      <c r="D891" s="36"/>
      <c r="E891" s="34" t="s">
        <v>37</v>
      </c>
      <c r="F891" s="35"/>
    </row>
    <row r="892" spans="1:6" ht="15.75" thickBot="1" x14ac:dyDescent="0.3">
      <c r="A892" s="36"/>
      <c r="B892" s="32" t="s">
        <v>34</v>
      </c>
      <c r="C892" s="37">
        <f>IF(C891="","",IF(AND(MONTH(C891)&gt;=1,MONTH(C891)&lt;=3),1,IF(AND(MONTH(C891)&gt;=4,MONTH(C891)&lt;=6),2,IF(AND(MONTH(C891)&gt;=7,MONTH(C891)&lt;=9),3,4))))</f>
        <v>4</v>
      </c>
      <c r="D892" s="36"/>
      <c r="E892" s="34" t="s">
        <v>38</v>
      </c>
      <c r="F892" s="35"/>
    </row>
    <row r="893" spans="1:6" ht="15.75" thickBot="1" x14ac:dyDescent="0.3">
      <c r="A893" s="46"/>
      <c r="B893" s="46"/>
      <c r="C893" s="46"/>
      <c r="D893" s="46"/>
      <c r="E893" s="46"/>
      <c r="F893" s="46"/>
    </row>
    <row r="894" spans="1:6" ht="15.75" thickBot="1" x14ac:dyDescent="0.3">
      <c r="A894" s="38" t="s">
        <v>39</v>
      </c>
      <c r="B894" s="38" t="s">
        <v>40</v>
      </c>
      <c r="C894" s="38" t="s">
        <v>41</v>
      </c>
      <c r="D894" s="38" t="s">
        <v>42</v>
      </c>
      <c r="E894" s="38" t="s">
        <v>43</v>
      </c>
      <c r="F894" s="38" t="s">
        <v>44</v>
      </c>
    </row>
    <row r="895" spans="1:6" x14ac:dyDescent="0.25">
      <c r="A895" s="39" t="s">
        <v>91</v>
      </c>
      <c r="B895" s="40" t="str">
        <f ca="1">IFERROR(INDEX(UNSPSCDes,MATCH(INDIRECT(ADDRESS(ROW(),COLUMN()-1,4)),UNSPSCCode,0)),IF(INDIRECT(ADDRESS(ROW(),COLUMN()-1,4))="50221001","Granos",""))</f>
        <v>Granos</v>
      </c>
      <c r="C895" s="41" t="str">
        <f>IFERROR(VLOOKUP("UD",'[1]Informacion '!P:Q,2,FALSE),"")</f>
        <v>Unidad</v>
      </c>
      <c r="D895" s="39">
        <v>350</v>
      </c>
      <c r="E895" s="42">
        <v>92</v>
      </c>
      <c r="F895" s="43">
        <f ca="1">INDIRECT(ADDRESS(ROW(),COLUMN()-2,4))*INDIRECT(ADDRESS(ROW(),COLUMN()-1,4))</f>
        <v>32200</v>
      </c>
    </row>
    <row r="896" spans="1:6" x14ac:dyDescent="0.25">
      <c r="A896" s="39" t="s">
        <v>91</v>
      </c>
      <c r="B896" s="40" t="str">
        <f ca="1">IFERROR(INDEX(UNSPSCDes,MATCH(INDIRECT(ADDRESS(ROW(),COLUMN()-1,4)),UNSPSCCode,0)),IF(INDIRECT(ADDRESS(ROW(),COLUMN()-1,4))="50221001","Granos",""))</f>
        <v>Granos</v>
      </c>
      <c r="C896" s="41" t="str">
        <f>IFERROR(VLOOKUP("UD",'[1]Informacion '!P:Q,2,FALSE),"")</f>
        <v>Unidad</v>
      </c>
      <c r="D896" s="39">
        <v>225</v>
      </c>
      <c r="E896" s="42">
        <v>112</v>
      </c>
      <c r="F896" s="43">
        <f ca="1">INDIRECT(ADDRESS(ROW(),COLUMN()-2,4))*INDIRECT(ADDRESS(ROW(),COLUMN()-1,4))</f>
        <v>25200</v>
      </c>
    </row>
    <row r="897" spans="1:6" x14ac:dyDescent="0.25">
      <c r="A897" s="39" t="s">
        <v>91</v>
      </c>
      <c r="B897" s="40" t="str">
        <f ca="1">IFERROR(INDEX(UNSPSCDes,MATCH(INDIRECT(ADDRESS(ROW(),COLUMN()-1,4)),UNSPSCCode,0)),IF(INDIRECT(ADDRESS(ROW(),COLUMN()-1,4))="50221001","Granos",""))</f>
        <v>Granos</v>
      </c>
      <c r="C897" s="41" t="str">
        <f>IFERROR(VLOOKUP("UD",'[1]Informacion '!P:Q,2,FALSE),"")</f>
        <v>Unidad</v>
      </c>
      <c r="D897" s="39">
        <v>105</v>
      </c>
      <c r="E897" s="42">
        <v>112</v>
      </c>
      <c r="F897" s="43">
        <f ca="1">INDIRECT(ADDRESS(ROW(),COLUMN()-2,4))*INDIRECT(ADDRESS(ROW(),COLUMN()-1,4))</f>
        <v>11760</v>
      </c>
    </row>
    <row r="898" spans="1:6" x14ac:dyDescent="0.25">
      <c r="A898" s="39" t="s">
        <v>91</v>
      </c>
      <c r="B898" s="40" t="str">
        <f ca="1">IFERROR(INDEX(UNSPSCDes,MATCH(INDIRECT(ADDRESS(ROW(),COLUMN()-1,4)),UNSPSCCode,0)),IF(INDIRECT(ADDRESS(ROW(),COLUMN()-1,4))="50221001","Granos",""))</f>
        <v>Granos</v>
      </c>
      <c r="C898" s="41" t="str">
        <f>IFERROR(VLOOKUP("UD",'[1]Informacion '!P:Q,2,FALSE),"")</f>
        <v>Unidad</v>
      </c>
      <c r="D898" s="39">
        <v>100</v>
      </c>
      <c r="E898" s="42">
        <v>88</v>
      </c>
      <c r="F898" s="43">
        <f ca="1">INDIRECT(ADDRESS(ROW(),COLUMN()-2,4))*INDIRECT(ADDRESS(ROW(),COLUMN()-1,4))</f>
        <v>8800</v>
      </c>
    </row>
    <row r="899" spans="1:6" x14ac:dyDescent="0.25">
      <c r="A899" s="39" t="s">
        <v>91</v>
      </c>
      <c r="B899" s="40" t="str">
        <f ca="1">IFERROR(INDEX(UNSPSCDes,MATCH(INDIRECT(ADDRESS(ROW(),COLUMN()-1,4)),UNSPSCCode,0)),IF(INDIRECT(ADDRESS(ROW(),COLUMN()-1,4))="50221001","Granos",""))</f>
        <v>Granos</v>
      </c>
      <c r="C899" s="41" t="str">
        <f>IFERROR(VLOOKUP("UD",'[1]Informacion '!P:Q,2,FALSE),"")</f>
        <v>Unidad</v>
      </c>
      <c r="D899" s="39">
        <v>100</v>
      </c>
      <c r="E899" s="42">
        <v>87</v>
      </c>
      <c r="F899" s="43">
        <f ca="1">INDIRECT(ADDRESS(ROW(),COLUMN()-2,4))*INDIRECT(ADDRESS(ROW(),COLUMN()-1,4))</f>
        <v>8700</v>
      </c>
    </row>
    <row r="900" spans="1:6" x14ac:dyDescent="0.25">
      <c r="A900" s="46"/>
      <c r="B900" s="46"/>
      <c r="C900" s="46"/>
      <c r="D900" s="46"/>
      <c r="E900" s="44" t="s">
        <v>46</v>
      </c>
      <c r="F900" s="45">
        <f ca="1">SUM(Table26[MONTO TOTAL ESTIMADO])</f>
        <v>86660</v>
      </c>
    </row>
    <row r="901" spans="1:6" ht="15.75" thickBot="1" x14ac:dyDescent="0.3">
      <c r="A901" s="46"/>
      <c r="B901" s="46"/>
      <c r="C901" s="46"/>
      <c r="D901" s="46"/>
      <c r="E901" s="46"/>
      <c r="F901" s="46"/>
    </row>
    <row r="902" spans="1:6" ht="34.5" thickBot="1" x14ac:dyDescent="0.3">
      <c r="A902" s="29" t="s">
        <v>18</v>
      </c>
      <c r="B902" s="29" t="s">
        <v>19</v>
      </c>
      <c r="C902" s="29" t="s">
        <v>20</v>
      </c>
      <c r="D902" s="29" t="s">
        <v>21</v>
      </c>
      <c r="E902" s="29" t="s">
        <v>22</v>
      </c>
      <c r="F902" s="29" t="s">
        <v>23</v>
      </c>
    </row>
    <row r="903" spans="1:6" ht="15.75" thickBot="1" x14ac:dyDescent="0.3">
      <c r="A903" s="30" t="s">
        <v>88</v>
      </c>
      <c r="B903" s="30" t="s">
        <v>93</v>
      </c>
      <c r="C903" s="30" t="s">
        <v>26</v>
      </c>
      <c r="D903" s="30" t="s">
        <v>90</v>
      </c>
      <c r="E903" s="30" t="s">
        <v>28</v>
      </c>
      <c r="F903" s="30" t="s">
        <v>17</v>
      </c>
    </row>
    <row r="904" spans="1:6" ht="15.75" thickBot="1" x14ac:dyDescent="0.3">
      <c r="A904" s="31" t="s">
        <v>29</v>
      </c>
      <c r="B904" s="32" t="s">
        <v>30</v>
      </c>
      <c r="C904" s="33">
        <v>46358</v>
      </c>
      <c r="D904" s="31" t="s">
        <v>31</v>
      </c>
      <c r="E904" s="34" t="s">
        <v>32</v>
      </c>
      <c r="F904" s="35" t="s">
        <v>33</v>
      </c>
    </row>
    <row r="905" spans="1:6" ht="15.75" thickBot="1" x14ac:dyDescent="0.3">
      <c r="A905" s="36"/>
      <c r="B905" s="32" t="s">
        <v>34</v>
      </c>
      <c r="C905" s="37">
        <f>IF(C904="","",IF(AND(MONTH(C904)&gt;=1,MONTH(C904)&lt;=3),1,IF(AND(MONTH(C904)&gt;=4,MONTH(C904)&lt;=6),2,IF(AND(MONTH(C904)&gt;=7,MONTH(C904)&lt;=9),3,4))))</f>
        <v>4</v>
      </c>
      <c r="D905" s="36"/>
      <c r="E905" s="34" t="s">
        <v>35</v>
      </c>
      <c r="F905" s="35"/>
    </row>
    <row r="906" spans="1:6" ht="15.75" thickBot="1" x14ac:dyDescent="0.3">
      <c r="A906" s="36"/>
      <c r="B906" s="32" t="s">
        <v>36</v>
      </c>
      <c r="C906" s="33">
        <v>46361</v>
      </c>
      <c r="D906" s="36"/>
      <c r="E906" s="34" t="s">
        <v>37</v>
      </c>
      <c r="F906" s="35"/>
    </row>
    <row r="907" spans="1:6" ht="15.75" thickBot="1" x14ac:dyDescent="0.3">
      <c r="A907" s="36"/>
      <c r="B907" s="32" t="s">
        <v>34</v>
      </c>
      <c r="C907" s="37">
        <f>IF(C906="","",IF(AND(MONTH(C906)&gt;=1,MONTH(C906)&lt;=3),1,IF(AND(MONTH(C906)&gt;=4,MONTH(C906)&lt;=6),2,IF(AND(MONTH(C906)&gt;=7,MONTH(C906)&lt;=9),3,4))))</f>
        <v>4</v>
      </c>
      <c r="D907" s="36"/>
      <c r="E907" s="34" t="s">
        <v>38</v>
      </c>
      <c r="F907" s="35"/>
    </row>
    <row r="908" spans="1:6" ht="15.75" thickBot="1" x14ac:dyDescent="0.3">
      <c r="A908" s="46"/>
      <c r="B908" s="46"/>
      <c r="C908" s="46"/>
      <c r="D908" s="46"/>
      <c r="E908" s="46"/>
      <c r="F908" s="46"/>
    </row>
    <row r="909" spans="1:6" ht="15.75" thickBot="1" x14ac:dyDescent="0.3">
      <c r="A909" s="38" t="s">
        <v>39</v>
      </c>
      <c r="B909" s="38" t="s">
        <v>40</v>
      </c>
      <c r="C909" s="38" t="s">
        <v>41</v>
      </c>
      <c r="D909" s="38" t="s">
        <v>42</v>
      </c>
      <c r="E909" s="38" t="s">
        <v>43</v>
      </c>
      <c r="F909" s="38" t="s">
        <v>44</v>
      </c>
    </row>
    <row r="910" spans="1:6" x14ac:dyDescent="0.25">
      <c r="A910" s="39" t="s">
        <v>91</v>
      </c>
      <c r="B910" s="40" t="str">
        <f ca="1">IFERROR(INDEX(UNSPSCDes,MATCH(INDIRECT(ADDRESS(ROW(),COLUMN()-1,4)),UNSPSCCode,0)),IF(INDIRECT(ADDRESS(ROW(),COLUMN()-1,4))="50221001","Granos",""))</f>
        <v>Granos</v>
      </c>
      <c r="C910" s="41" t="str">
        <f>IFERROR(VLOOKUP("UD",'[1]Informacion '!P:Q,2,FALSE),"")</f>
        <v>Unidad</v>
      </c>
      <c r="D910" s="39">
        <v>350</v>
      </c>
      <c r="E910" s="42">
        <v>92</v>
      </c>
      <c r="F910" s="43">
        <f ca="1">INDIRECT(ADDRESS(ROW(),COLUMN()-2,4))*INDIRECT(ADDRESS(ROW(),COLUMN()-1,4))</f>
        <v>32200</v>
      </c>
    </row>
    <row r="911" spans="1:6" x14ac:dyDescent="0.25">
      <c r="A911" s="39" t="s">
        <v>91</v>
      </c>
      <c r="B911" s="40" t="str">
        <f ca="1">IFERROR(INDEX(UNSPSCDes,MATCH(INDIRECT(ADDRESS(ROW(),COLUMN()-1,4)),UNSPSCCode,0)),IF(INDIRECT(ADDRESS(ROW(),COLUMN()-1,4))="50221001","Granos",""))</f>
        <v>Granos</v>
      </c>
      <c r="C911" s="41" t="str">
        <f>IFERROR(VLOOKUP("UD",'[1]Informacion '!P:Q,2,FALSE),"")</f>
        <v>Unidad</v>
      </c>
      <c r="D911" s="39">
        <v>225</v>
      </c>
      <c r="E911" s="42">
        <v>112</v>
      </c>
      <c r="F911" s="43">
        <f ca="1">INDIRECT(ADDRESS(ROW(),COLUMN()-2,4))*INDIRECT(ADDRESS(ROW(),COLUMN()-1,4))</f>
        <v>25200</v>
      </c>
    </row>
    <row r="912" spans="1:6" x14ac:dyDescent="0.25">
      <c r="A912" s="39" t="s">
        <v>91</v>
      </c>
      <c r="B912" s="40" t="str">
        <f ca="1">IFERROR(INDEX(UNSPSCDes,MATCH(INDIRECT(ADDRESS(ROW(),COLUMN()-1,4)),UNSPSCCode,0)),IF(INDIRECT(ADDRESS(ROW(),COLUMN()-1,4))="50221001","Granos",""))</f>
        <v>Granos</v>
      </c>
      <c r="C912" s="41" t="str">
        <f>IFERROR(VLOOKUP("UD",'[1]Informacion '!P:Q,2,FALSE),"")</f>
        <v>Unidad</v>
      </c>
      <c r="D912" s="39">
        <v>105</v>
      </c>
      <c r="E912" s="42">
        <v>112</v>
      </c>
      <c r="F912" s="43">
        <f ca="1">INDIRECT(ADDRESS(ROW(),COLUMN()-2,4))*INDIRECT(ADDRESS(ROW(),COLUMN()-1,4))</f>
        <v>11760</v>
      </c>
    </row>
    <row r="913" spans="1:6" x14ac:dyDescent="0.25">
      <c r="A913" s="39" t="s">
        <v>91</v>
      </c>
      <c r="B913" s="40" t="str">
        <f ca="1">IFERROR(INDEX(UNSPSCDes,MATCH(INDIRECT(ADDRESS(ROW(),COLUMN()-1,4)),UNSPSCCode,0)),IF(INDIRECT(ADDRESS(ROW(),COLUMN()-1,4))="50221001","Granos",""))</f>
        <v>Granos</v>
      </c>
      <c r="C913" s="41" t="str">
        <f>IFERROR(VLOOKUP("UD",'[1]Informacion '!P:Q,2,FALSE),"")</f>
        <v>Unidad</v>
      </c>
      <c r="D913" s="39">
        <v>100</v>
      </c>
      <c r="E913" s="42">
        <v>88</v>
      </c>
      <c r="F913" s="43">
        <f ca="1">INDIRECT(ADDRESS(ROW(),COLUMN()-2,4))*INDIRECT(ADDRESS(ROW(),COLUMN()-1,4))</f>
        <v>8800</v>
      </c>
    </row>
    <row r="914" spans="1:6" x14ac:dyDescent="0.25">
      <c r="A914" s="39" t="s">
        <v>91</v>
      </c>
      <c r="B914" s="40" t="str">
        <f ca="1">IFERROR(INDEX(UNSPSCDes,MATCH(INDIRECT(ADDRESS(ROW(),COLUMN()-1,4)),UNSPSCCode,0)),IF(INDIRECT(ADDRESS(ROW(),COLUMN()-1,4))="50221001","Granos",""))</f>
        <v>Granos</v>
      </c>
      <c r="C914" s="41" t="str">
        <f>IFERROR(VLOOKUP("UD",'[1]Informacion '!P:Q,2,FALSE),"")</f>
        <v>Unidad</v>
      </c>
      <c r="D914" s="39">
        <v>100</v>
      </c>
      <c r="E914" s="42">
        <v>87</v>
      </c>
      <c r="F914" s="43">
        <f ca="1">INDIRECT(ADDRESS(ROW(),COLUMN()-2,4))*INDIRECT(ADDRESS(ROW(),COLUMN()-1,4))</f>
        <v>8700</v>
      </c>
    </row>
    <row r="915" spans="1:6" x14ac:dyDescent="0.25">
      <c r="A915" s="46"/>
      <c r="B915" s="46"/>
      <c r="C915" s="46"/>
      <c r="D915" s="46"/>
      <c r="E915" s="44" t="s">
        <v>46</v>
      </c>
      <c r="F915" s="45">
        <f ca="1">SUM(Table27[MONTO TOTAL ESTIMADO])</f>
        <v>86660</v>
      </c>
    </row>
    <row r="916" spans="1:6" ht="15.75" thickBot="1" x14ac:dyDescent="0.3">
      <c r="A916" s="46"/>
      <c r="B916" s="46"/>
      <c r="C916" s="46"/>
      <c r="D916" s="46"/>
      <c r="E916" s="46"/>
      <c r="F916" s="46"/>
    </row>
    <row r="917" spans="1:6" ht="34.5" thickBot="1" x14ac:dyDescent="0.3">
      <c r="A917" s="29" t="s">
        <v>18</v>
      </c>
      <c r="B917" s="29" t="s">
        <v>19</v>
      </c>
      <c r="C917" s="29" t="s">
        <v>20</v>
      </c>
      <c r="D917" s="29" t="s">
        <v>21</v>
      </c>
      <c r="E917" s="29" t="s">
        <v>22</v>
      </c>
      <c r="F917" s="29" t="s">
        <v>23</v>
      </c>
    </row>
    <row r="918" spans="1:6" ht="15.75" thickBot="1" x14ac:dyDescent="0.3">
      <c r="A918" s="30" t="s">
        <v>94</v>
      </c>
      <c r="B918" s="30" t="s">
        <v>95</v>
      </c>
      <c r="C918" s="30" t="s">
        <v>26</v>
      </c>
      <c r="D918" s="30" t="s">
        <v>27</v>
      </c>
      <c r="E918" s="30" t="s">
        <v>28</v>
      </c>
      <c r="F918" s="30"/>
    </row>
    <row r="919" spans="1:6" ht="15.75" thickBot="1" x14ac:dyDescent="0.3">
      <c r="A919" s="31" t="s">
        <v>29</v>
      </c>
      <c r="B919" s="32" t="s">
        <v>30</v>
      </c>
      <c r="C919" s="33">
        <v>46184</v>
      </c>
      <c r="D919" s="31" t="s">
        <v>31</v>
      </c>
      <c r="E919" s="34" t="s">
        <v>32</v>
      </c>
      <c r="F919" s="35" t="s">
        <v>33</v>
      </c>
    </row>
    <row r="920" spans="1:6" ht="15.75" thickBot="1" x14ac:dyDescent="0.3">
      <c r="A920" s="36"/>
      <c r="B920" s="32" t="s">
        <v>34</v>
      </c>
      <c r="C920" s="37">
        <f>IF(C919="","",IF(AND(MONTH(C919)&gt;=1,MONTH(C919)&lt;=3),1,IF(AND(MONTH(C919)&gt;=4,MONTH(C919)&lt;=6),2,IF(AND(MONTH(C919)&gt;=7,MONTH(C919)&lt;=9),3,4))))</f>
        <v>2</v>
      </c>
      <c r="D920" s="36"/>
      <c r="E920" s="34" t="s">
        <v>35</v>
      </c>
      <c r="F920" s="35"/>
    </row>
    <row r="921" spans="1:6" ht="15.75" thickBot="1" x14ac:dyDescent="0.3">
      <c r="A921" s="36"/>
      <c r="B921" s="32" t="s">
        <v>36</v>
      </c>
      <c r="C921" s="33">
        <v>46186</v>
      </c>
      <c r="D921" s="36"/>
      <c r="E921" s="34" t="s">
        <v>37</v>
      </c>
      <c r="F921" s="35"/>
    </row>
    <row r="922" spans="1:6" ht="15.75" thickBot="1" x14ac:dyDescent="0.3">
      <c r="A922" s="36"/>
      <c r="B922" s="32" t="s">
        <v>34</v>
      </c>
      <c r="C922" s="37">
        <f>IF(C921="","",IF(AND(MONTH(C921)&gt;=1,MONTH(C921)&lt;=3),1,IF(AND(MONTH(C921)&gt;=4,MONTH(C921)&lt;=6),2,IF(AND(MONTH(C921)&gt;=7,MONTH(C921)&lt;=9),3,4))))</f>
        <v>2</v>
      </c>
      <c r="D922" s="36"/>
      <c r="E922" s="34" t="s">
        <v>38</v>
      </c>
      <c r="F922" s="35"/>
    </row>
    <row r="923" spans="1:6" ht="15.75" thickBot="1" x14ac:dyDescent="0.3">
      <c r="A923" s="46"/>
      <c r="B923" s="46"/>
      <c r="C923" s="46"/>
      <c r="D923" s="46"/>
      <c r="E923" s="46"/>
      <c r="F923" s="46"/>
    </row>
    <row r="924" spans="1:6" ht="15.75" thickBot="1" x14ac:dyDescent="0.3">
      <c r="A924" s="38" t="s">
        <v>39</v>
      </c>
      <c r="B924" s="38" t="s">
        <v>40</v>
      </c>
      <c r="C924" s="38" t="s">
        <v>41</v>
      </c>
      <c r="D924" s="38" t="s">
        <v>42</v>
      </c>
      <c r="E924" s="38" t="s">
        <v>43</v>
      </c>
      <c r="F924" s="38" t="s">
        <v>44</v>
      </c>
    </row>
    <row r="925" spans="1:6" ht="22.5" x14ac:dyDescent="0.25">
      <c r="A925" s="39" t="s">
        <v>96</v>
      </c>
      <c r="B925" s="40" t="str">
        <f ca="1">IFERROR(INDEX(UNSPSCDes,MATCH(INDIRECT(ADDRESS(ROW(),COLUMN()-1,4)),UNSPSCCode,0)),IF(INDIRECT(ADDRESS(ROW(),COLUMN()-1,4))="44103103","Tóner para impresoras o fax",""))</f>
        <v>Tóner para impresoras o fax</v>
      </c>
      <c r="C925" s="41" t="str">
        <f>IFERROR(VLOOKUP("UD",'[1]Informacion '!P:Q,2,FALSE),"")</f>
        <v>Unidad</v>
      </c>
      <c r="D925" s="39">
        <v>40</v>
      </c>
      <c r="E925" s="42">
        <v>4560</v>
      </c>
      <c r="F925" s="43">
        <f ca="1">INDIRECT(ADDRESS(ROW(),COLUMN()-2,4))*INDIRECT(ADDRESS(ROW(),COLUMN()-1,4))</f>
        <v>182400</v>
      </c>
    </row>
    <row r="926" spans="1:6" ht="22.5" x14ac:dyDescent="0.25">
      <c r="A926" s="39" t="s">
        <v>96</v>
      </c>
      <c r="B926" s="40" t="str">
        <f ca="1">IFERROR(INDEX(UNSPSCDes,MATCH(INDIRECT(ADDRESS(ROW(),COLUMN()-1,4)),UNSPSCCode,0)),IF(INDIRECT(ADDRESS(ROW(),COLUMN()-1,4))="44103103","Tóner para impresoras o fax",""))</f>
        <v>Tóner para impresoras o fax</v>
      </c>
      <c r="C926" s="41" t="str">
        <f>IFERROR(VLOOKUP("UD",'[1]Informacion '!P:Q,2,FALSE),"")</f>
        <v>Unidad</v>
      </c>
      <c r="D926" s="39">
        <v>40</v>
      </c>
      <c r="E926" s="42">
        <v>4320</v>
      </c>
      <c r="F926" s="43">
        <f ca="1">INDIRECT(ADDRESS(ROW(),COLUMN()-2,4))*INDIRECT(ADDRESS(ROW(),COLUMN()-1,4))</f>
        <v>172800</v>
      </c>
    </row>
    <row r="927" spans="1:6" ht="22.5" x14ac:dyDescent="0.25">
      <c r="A927" s="39" t="s">
        <v>96</v>
      </c>
      <c r="B927" s="40" t="str">
        <f ca="1">IFERROR(INDEX(UNSPSCDes,MATCH(INDIRECT(ADDRESS(ROW(),COLUMN()-1,4)),UNSPSCCode,0)),IF(INDIRECT(ADDRESS(ROW(),COLUMN()-1,4))="44103103","Tóner para impresoras o fax",""))</f>
        <v>Tóner para impresoras o fax</v>
      </c>
      <c r="C927" s="41" t="str">
        <f>IFERROR(VLOOKUP("UD",'[1]Informacion '!P:Q,2,FALSE),"")</f>
        <v>Unidad</v>
      </c>
      <c r="D927" s="39">
        <v>25</v>
      </c>
      <c r="E927" s="42">
        <v>4140</v>
      </c>
      <c r="F927" s="43">
        <f ca="1">INDIRECT(ADDRESS(ROW(),COLUMN()-2,4))*INDIRECT(ADDRESS(ROW(),COLUMN()-1,4))</f>
        <v>103500</v>
      </c>
    </row>
    <row r="928" spans="1:6" ht="22.5" x14ac:dyDescent="0.25">
      <c r="A928" s="39" t="s">
        <v>96</v>
      </c>
      <c r="B928" s="40" t="str">
        <f ca="1">IFERROR(INDEX(UNSPSCDes,MATCH(INDIRECT(ADDRESS(ROW(),COLUMN()-1,4)),UNSPSCCode,0)),IF(INDIRECT(ADDRESS(ROW(),COLUMN()-1,4))="44103103","Tóner para impresoras o fax",""))</f>
        <v>Tóner para impresoras o fax</v>
      </c>
      <c r="C928" s="41" t="str">
        <f>IFERROR(VLOOKUP("UD",'[1]Informacion '!P:Q,2,FALSE),"")</f>
        <v>Unidad</v>
      </c>
      <c r="D928" s="39">
        <v>15</v>
      </c>
      <c r="E928" s="42">
        <v>4500</v>
      </c>
      <c r="F928" s="43">
        <f ca="1">INDIRECT(ADDRESS(ROW(),COLUMN()-2,4))*INDIRECT(ADDRESS(ROW(),COLUMN()-1,4))</f>
        <v>67500</v>
      </c>
    </row>
    <row r="929" spans="1:6" ht="22.5" x14ac:dyDescent="0.25">
      <c r="A929" s="39" t="s">
        <v>96</v>
      </c>
      <c r="B929" s="40" t="str">
        <f ca="1">IFERROR(INDEX(UNSPSCDes,MATCH(INDIRECT(ADDRESS(ROW(),COLUMN()-1,4)),UNSPSCCode,0)),IF(INDIRECT(ADDRESS(ROW(),COLUMN()-1,4))="44103103","Tóner para impresoras o fax",""))</f>
        <v>Tóner para impresoras o fax</v>
      </c>
      <c r="C929" s="41" t="str">
        <f>IFERROR(VLOOKUP("UD",'[1]Informacion '!P:Q,2,FALSE),"")</f>
        <v>Unidad</v>
      </c>
      <c r="D929" s="39">
        <v>9</v>
      </c>
      <c r="E929" s="42">
        <v>1800</v>
      </c>
      <c r="F929" s="43">
        <f ca="1">INDIRECT(ADDRESS(ROW(),COLUMN()-2,4))*INDIRECT(ADDRESS(ROW(),COLUMN()-1,4))</f>
        <v>16200</v>
      </c>
    </row>
    <row r="930" spans="1:6" x14ac:dyDescent="0.25">
      <c r="A930" s="46"/>
      <c r="B930" s="46"/>
      <c r="C930" s="46"/>
      <c r="D930" s="46"/>
      <c r="E930" s="44" t="s">
        <v>46</v>
      </c>
      <c r="F930" s="45">
        <f ca="1">SUM(Table28[MONTO TOTAL ESTIMADO])</f>
        <v>542400</v>
      </c>
    </row>
    <row r="931" spans="1:6" ht="15.75" thickBot="1" x14ac:dyDescent="0.3">
      <c r="A931" s="46"/>
      <c r="B931" s="46"/>
      <c r="C931" s="46"/>
      <c r="D931" s="46"/>
      <c r="E931" s="46"/>
      <c r="F931" s="46"/>
    </row>
    <row r="932" spans="1:6" ht="34.5" thickBot="1" x14ac:dyDescent="0.3">
      <c r="A932" s="29" t="s">
        <v>18</v>
      </c>
      <c r="B932" s="29" t="s">
        <v>19</v>
      </c>
      <c r="C932" s="29" t="s">
        <v>20</v>
      </c>
      <c r="D932" s="29" t="s">
        <v>21</v>
      </c>
      <c r="E932" s="29" t="s">
        <v>22</v>
      </c>
      <c r="F932" s="29" t="s">
        <v>23</v>
      </c>
    </row>
    <row r="933" spans="1:6" ht="15.75" thickBot="1" x14ac:dyDescent="0.3">
      <c r="A933" s="30" t="s">
        <v>94</v>
      </c>
      <c r="B933" s="30" t="s">
        <v>97</v>
      </c>
      <c r="C933" s="30" t="s">
        <v>26</v>
      </c>
      <c r="D933" s="30" t="s">
        <v>27</v>
      </c>
      <c r="E933" s="30" t="s">
        <v>28</v>
      </c>
      <c r="F933" s="30" t="s">
        <v>17</v>
      </c>
    </row>
    <row r="934" spans="1:6" ht="15.75" thickBot="1" x14ac:dyDescent="0.3">
      <c r="A934" s="31" t="s">
        <v>29</v>
      </c>
      <c r="B934" s="32" t="s">
        <v>30</v>
      </c>
      <c r="C934" s="33">
        <v>46235</v>
      </c>
      <c r="D934" s="31" t="s">
        <v>31</v>
      </c>
      <c r="E934" s="34" t="s">
        <v>32</v>
      </c>
      <c r="F934" s="35" t="s">
        <v>33</v>
      </c>
    </row>
    <row r="935" spans="1:6" ht="15.75" thickBot="1" x14ac:dyDescent="0.3">
      <c r="A935" s="36"/>
      <c r="B935" s="32" t="s">
        <v>34</v>
      </c>
      <c r="C935" s="37">
        <f>IF(C934="","",IF(AND(MONTH(C934)&gt;=1,MONTH(C934)&lt;=3),1,IF(AND(MONTH(C934)&gt;=4,MONTH(C934)&lt;=6),2,IF(AND(MONTH(C934)&gt;=7,MONTH(C934)&lt;=9),3,4))))</f>
        <v>3</v>
      </c>
      <c r="D935" s="36"/>
      <c r="E935" s="34" t="s">
        <v>35</v>
      </c>
      <c r="F935" s="35"/>
    </row>
    <row r="936" spans="1:6" ht="15.75" thickBot="1" x14ac:dyDescent="0.3">
      <c r="A936" s="36"/>
      <c r="B936" s="32" t="s">
        <v>36</v>
      </c>
      <c r="C936" s="33">
        <v>46239</v>
      </c>
      <c r="D936" s="36"/>
      <c r="E936" s="34" t="s">
        <v>37</v>
      </c>
      <c r="F936" s="35"/>
    </row>
    <row r="937" spans="1:6" ht="15.75" thickBot="1" x14ac:dyDescent="0.3">
      <c r="A937" s="36"/>
      <c r="B937" s="32" t="s">
        <v>34</v>
      </c>
      <c r="C937" s="37">
        <f>IF(C936="","",IF(AND(MONTH(C936)&gt;=1,MONTH(C936)&lt;=3),1,IF(AND(MONTH(C936)&gt;=4,MONTH(C936)&lt;=6),2,IF(AND(MONTH(C936)&gt;=7,MONTH(C936)&lt;=9),3,4))))</f>
        <v>3</v>
      </c>
      <c r="D937" s="36"/>
      <c r="E937" s="34" t="s">
        <v>38</v>
      </c>
      <c r="F937" s="35"/>
    </row>
    <row r="938" spans="1:6" ht="15.75" thickBot="1" x14ac:dyDescent="0.3">
      <c r="A938" s="46"/>
      <c r="B938" s="46"/>
      <c r="C938" s="46"/>
      <c r="D938" s="46"/>
      <c r="E938" s="46"/>
      <c r="F938" s="46"/>
    </row>
    <row r="939" spans="1:6" ht="15.75" thickBot="1" x14ac:dyDescent="0.3">
      <c r="A939" s="38" t="s">
        <v>39</v>
      </c>
      <c r="B939" s="38" t="s">
        <v>40</v>
      </c>
      <c r="C939" s="38" t="s">
        <v>41</v>
      </c>
      <c r="D939" s="38" t="s">
        <v>42</v>
      </c>
      <c r="E939" s="38" t="s">
        <v>43</v>
      </c>
      <c r="F939" s="38" t="s">
        <v>44</v>
      </c>
    </row>
    <row r="940" spans="1:6" ht="22.5" x14ac:dyDescent="0.25">
      <c r="A940" s="39" t="s">
        <v>96</v>
      </c>
      <c r="B940" s="40" t="str">
        <f ca="1">IFERROR(INDEX(UNSPSCDes,MATCH(INDIRECT(ADDRESS(ROW(),COLUMN()-1,4)),UNSPSCCode,0)),IF(INDIRECT(ADDRESS(ROW(),COLUMN()-1,4))="44103103","Tóner para impresoras o fax",""))</f>
        <v>Tóner para impresoras o fax</v>
      </c>
      <c r="C940" s="41" t="str">
        <f>IFERROR(VLOOKUP("UD",'[1]Informacion '!P:Q,2,FALSE),"")</f>
        <v>Unidad</v>
      </c>
      <c r="D940" s="39">
        <v>30</v>
      </c>
      <c r="E940" s="42">
        <v>4560</v>
      </c>
      <c r="F940" s="43">
        <f ca="1">INDIRECT(ADDRESS(ROW(),COLUMN()-2,4))*INDIRECT(ADDRESS(ROW(),COLUMN()-1,4))</f>
        <v>136800</v>
      </c>
    </row>
    <row r="941" spans="1:6" ht="22.5" x14ac:dyDescent="0.25">
      <c r="A941" s="39" t="s">
        <v>96</v>
      </c>
      <c r="B941" s="40" t="str">
        <f ca="1">IFERROR(INDEX(UNSPSCDes,MATCH(INDIRECT(ADDRESS(ROW(),COLUMN()-1,4)),UNSPSCCode,0)),IF(INDIRECT(ADDRESS(ROW(),COLUMN()-1,4))="44103103","Tóner para impresoras o fax",""))</f>
        <v>Tóner para impresoras o fax</v>
      </c>
      <c r="C941" s="41" t="str">
        <f>IFERROR(VLOOKUP("UD",'[1]Informacion '!P:Q,2,FALSE),"")</f>
        <v>Unidad</v>
      </c>
      <c r="D941" s="39">
        <v>30</v>
      </c>
      <c r="E941" s="42">
        <v>4320</v>
      </c>
      <c r="F941" s="43">
        <f ca="1">INDIRECT(ADDRESS(ROW(),COLUMN()-2,4))*INDIRECT(ADDRESS(ROW(),COLUMN()-1,4))</f>
        <v>129600</v>
      </c>
    </row>
    <row r="942" spans="1:6" ht="22.5" x14ac:dyDescent="0.25">
      <c r="A942" s="39" t="s">
        <v>96</v>
      </c>
      <c r="B942" s="40" t="str">
        <f ca="1">IFERROR(INDEX(UNSPSCDes,MATCH(INDIRECT(ADDRESS(ROW(),COLUMN()-1,4)),UNSPSCCode,0)),IF(INDIRECT(ADDRESS(ROW(),COLUMN()-1,4))="44103103","Tóner para impresoras o fax",""))</f>
        <v>Tóner para impresoras o fax</v>
      </c>
      <c r="C942" s="41" t="str">
        <f>IFERROR(VLOOKUP("UD",'[1]Informacion '!P:Q,2,FALSE),"")</f>
        <v>Unidad</v>
      </c>
      <c r="D942" s="39">
        <v>15</v>
      </c>
      <c r="E942" s="42">
        <v>4140</v>
      </c>
      <c r="F942" s="43">
        <f ca="1">INDIRECT(ADDRESS(ROW(),COLUMN()-2,4))*INDIRECT(ADDRESS(ROW(),COLUMN()-1,4))</f>
        <v>62100</v>
      </c>
    </row>
    <row r="943" spans="1:6" ht="22.5" x14ac:dyDescent="0.25">
      <c r="A943" s="39" t="s">
        <v>96</v>
      </c>
      <c r="B943" s="40" t="str">
        <f ca="1">IFERROR(INDEX(UNSPSCDes,MATCH(INDIRECT(ADDRESS(ROW(),COLUMN()-1,4)),UNSPSCCode,0)),IF(INDIRECT(ADDRESS(ROW(),COLUMN()-1,4))="44103103","Tóner para impresoras o fax",""))</f>
        <v>Tóner para impresoras o fax</v>
      </c>
      <c r="C943" s="41" t="str">
        <f>IFERROR(VLOOKUP("UD",'[1]Informacion '!P:Q,2,FALSE),"")</f>
        <v>Unidad</v>
      </c>
      <c r="D943" s="39">
        <v>15</v>
      </c>
      <c r="E943" s="42">
        <v>4500</v>
      </c>
      <c r="F943" s="43">
        <f ca="1">INDIRECT(ADDRESS(ROW(),COLUMN()-2,4))*INDIRECT(ADDRESS(ROW(),COLUMN()-1,4))</f>
        <v>67500</v>
      </c>
    </row>
    <row r="944" spans="1:6" ht="22.5" x14ac:dyDescent="0.25">
      <c r="A944" s="39" t="s">
        <v>96</v>
      </c>
      <c r="B944" s="40" t="str">
        <f ca="1">IFERROR(INDEX(UNSPSCDes,MATCH(INDIRECT(ADDRESS(ROW(),COLUMN()-1,4)),UNSPSCCode,0)),IF(INDIRECT(ADDRESS(ROW(),COLUMN()-1,4))="44103103","Tóner para impresoras o fax",""))</f>
        <v>Tóner para impresoras o fax</v>
      </c>
      <c r="C944" s="41" t="str">
        <f>IFERROR(VLOOKUP("UD",'[1]Informacion '!P:Q,2,FALSE),"")</f>
        <v>Unidad</v>
      </c>
      <c r="D944" s="39">
        <v>9</v>
      </c>
      <c r="E944" s="42">
        <v>1800</v>
      </c>
      <c r="F944" s="43">
        <f ca="1">INDIRECT(ADDRESS(ROW(),COLUMN()-2,4))*INDIRECT(ADDRESS(ROW(),COLUMN()-1,4))</f>
        <v>16200</v>
      </c>
    </row>
    <row r="945" spans="1:6" x14ac:dyDescent="0.25">
      <c r="A945" s="46"/>
      <c r="B945" s="46"/>
      <c r="C945" s="46"/>
      <c r="D945" s="46"/>
      <c r="E945" s="44" t="s">
        <v>46</v>
      </c>
      <c r="F945" s="45">
        <f ca="1">SUM(Table29[MONTO TOTAL ESTIMADO])</f>
        <v>412200</v>
      </c>
    </row>
    <row r="946" spans="1:6" ht="15.75" thickBot="1" x14ac:dyDescent="0.3">
      <c r="A946" s="46"/>
      <c r="B946" s="46"/>
      <c r="C946" s="46"/>
      <c r="D946" s="46"/>
      <c r="E946" s="46"/>
      <c r="F946" s="46"/>
    </row>
    <row r="947" spans="1:6" ht="34.5" thickBot="1" x14ac:dyDescent="0.3">
      <c r="A947" s="29" t="s">
        <v>18</v>
      </c>
      <c r="B947" s="29" t="s">
        <v>19</v>
      </c>
      <c r="C947" s="29" t="s">
        <v>20</v>
      </c>
      <c r="D947" s="29" t="s">
        <v>21</v>
      </c>
      <c r="E947" s="29" t="s">
        <v>22</v>
      </c>
      <c r="F947" s="29" t="s">
        <v>23</v>
      </c>
    </row>
    <row r="948" spans="1:6" ht="15.75" thickBot="1" x14ac:dyDescent="0.3">
      <c r="A948" s="30" t="s">
        <v>98</v>
      </c>
      <c r="B948" s="30" t="s">
        <v>78</v>
      </c>
      <c r="C948" s="30" t="s">
        <v>26</v>
      </c>
      <c r="D948" s="30" t="s">
        <v>27</v>
      </c>
      <c r="E948" s="30" t="s">
        <v>28</v>
      </c>
      <c r="F948" s="30"/>
    </row>
    <row r="949" spans="1:6" ht="15.75" thickBot="1" x14ac:dyDescent="0.3">
      <c r="A949" s="31" t="s">
        <v>29</v>
      </c>
      <c r="B949" s="32" t="s">
        <v>30</v>
      </c>
      <c r="C949" s="33">
        <v>46274</v>
      </c>
      <c r="D949" s="31" t="s">
        <v>31</v>
      </c>
      <c r="E949" s="34" t="s">
        <v>32</v>
      </c>
      <c r="F949" s="35"/>
    </row>
    <row r="950" spans="1:6" ht="15.75" thickBot="1" x14ac:dyDescent="0.3">
      <c r="A950" s="36"/>
      <c r="B950" s="32" t="s">
        <v>34</v>
      </c>
      <c r="C950" s="37">
        <f>IF(C949="","",IF(AND(MONTH(C949)&gt;=1,MONTH(C949)&lt;=3),1,IF(AND(MONTH(C949)&gt;=4,MONTH(C949)&lt;=6),2,IF(AND(MONTH(C949)&gt;=7,MONTH(C949)&lt;=9),3,4))))</f>
        <v>3</v>
      </c>
      <c r="D950" s="36"/>
      <c r="E950" s="34" t="s">
        <v>35</v>
      </c>
      <c r="F950" s="35"/>
    </row>
    <row r="951" spans="1:6" ht="15.75" thickBot="1" x14ac:dyDescent="0.3">
      <c r="A951" s="36"/>
      <c r="B951" s="32" t="s">
        <v>36</v>
      </c>
      <c r="C951" s="33">
        <v>46275</v>
      </c>
      <c r="D951" s="36"/>
      <c r="E951" s="34" t="s">
        <v>37</v>
      </c>
      <c r="F951" s="35"/>
    </row>
    <row r="952" spans="1:6" ht="15.75" thickBot="1" x14ac:dyDescent="0.3">
      <c r="A952" s="36"/>
      <c r="B952" s="32" t="s">
        <v>34</v>
      </c>
      <c r="C952" s="37">
        <f>IF(C951="","",IF(AND(MONTH(C951)&gt;=1,MONTH(C951)&lt;=3),1,IF(AND(MONTH(C951)&gt;=4,MONTH(C951)&lt;=6),2,IF(AND(MONTH(C951)&gt;=7,MONTH(C951)&lt;=9),3,4))))</f>
        <v>3</v>
      </c>
      <c r="D952" s="36"/>
      <c r="E952" s="34" t="s">
        <v>38</v>
      </c>
      <c r="F952" s="35"/>
    </row>
    <row r="953" spans="1:6" ht="15.75" thickBot="1" x14ac:dyDescent="0.3">
      <c r="A953" s="46"/>
      <c r="B953" s="46"/>
      <c r="C953" s="46"/>
      <c r="D953" s="46"/>
      <c r="E953" s="46"/>
      <c r="F953" s="46"/>
    </row>
    <row r="954" spans="1:6" ht="15.75" thickBot="1" x14ac:dyDescent="0.3">
      <c r="A954" s="38" t="s">
        <v>39</v>
      </c>
      <c r="B954" s="38" t="s">
        <v>40</v>
      </c>
      <c r="C954" s="38" t="s">
        <v>41</v>
      </c>
      <c r="D954" s="38" t="s">
        <v>42</v>
      </c>
      <c r="E954" s="38" t="s">
        <v>43</v>
      </c>
      <c r="F954" s="38" t="s">
        <v>44</v>
      </c>
    </row>
    <row r="955" spans="1:6" ht="45" x14ac:dyDescent="0.25">
      <c r="A955" s="39" t="s">
        <v>45</v>
      </c>
      <c r="B955" s="40" t="str">
        <f ca="1">IFERROR(INDEX(UNSPSCDes,MATCH(INDIRECT(ADDRESS(ROW(),COLUMN()-1,4)),UNSPSCCode,0)),IF(INDIRECT(ADDRESS(ROW(),COLUMN()-1,4))="50151513","Aceites vegetales o  de planta comestibles",""))</f>
        <v>Aceites vegetales o  de planta comestibles</v>
      </c>
      <c r="C955" s="41" t="str">
        <f>IFERROR(VLOOKUP("CAJ",'[1]Informacion '!P:Q,2,FALSE),"")</f>
        <v>Caja</v>
      </c>
      <c r="D955" s="39">
        <v>10</v>
      </c>
      <c r="E955" s="42">
        <v>2280</v>
      </c>
      <c r="F955" s="43">
        <f t="shared" ref="F955:F988" ca="1" si="42">INDIRECT(ADDRESS(ROW(),COLUMN()-2,4))*INDIRECT(ADDRESS(ROW(),COLUMN()-1,4))</f>
        <v>22800</v>
      </c>
    </row>
    <row r="956" spans="1:6" x14ac:dyDescent="0.25">
      <c r="A956" s="39" t="s">
        <v>58</v>
      </c>
      <c r="B956" s="40" t="str">
        <f ca="1">IFERROR(INDEX(UNSPSCDes,MATCH(INDIRECT(ADDRESS(ROW(),COLUMN()-1,4)),UNSPSCCode,0)),IF(INDIRECT(ADDRESS(ROW(),COLUMN()-1,4))="50221101","Grano de cereal",""))</f>
        <v>Grano de cereal</v>
      </c>
      <c r="C956" s="41" t="str">
        <f>IFERROR(VLOOKUP("LB",'[1]Informacion '!P:Q,2,FALSE),"")</f>
        <v>Libra </v>
      </c>
      <c r="D956" s="39">
        <v>48</v>
      </c>
      <c r="E956" s="42">
        <v>100</v>
      </c>
      <c r="F956" s="43">
        <f t="shared" ca="1" si="42"/>
        <v>4800</v>
      </c>
    </row>
    <row r="957" spans="1:6" x14ac:dyDescent="0.25">
      <c r="A957" s="39" t="s">
        <v>59</v>
      </c>
      <c r="B957" s="40" t="str">
        <f ca="1">IFERROR(INDEX(UNSPSCDes,MATCH(INDIRECT(ADDRESS(ROW(),COLUMN()-1,4)),UNSPSCCode,0)),IF(INDIRECT(ADDRESS(ROW(),COLUMN()-1,4))="50101543","Judías secas",""))</f>
        <v>Judías secas</v>
      </c>
      <c r="C957" s="41" t="str">
        <f>IFERROR(VLOOKUP("CAJ",'[1]Informacion '!P:Q,2,FALSE),"")</f>
        <v>Caja</v>
      </c>
      <c r="D957" s="39">
        <v>12</v>
      </c>
      <c r="E957" s="42">
        <v>2400</v>
      </c>
      <c r="F957" s="43">
        <f t="shared" ca="1" si="42"/>
        <v>28800</v>
      </c>
    </row>
    <row r="958" spans="1:6" x14ac:dyDescent="0.25">
      <c r="A958" s="39" t="s">
        <v>58</v>
      </c>
      <c r="B958" s="40" t="str">
        <f ca="1">IFERROR(INDEX(UNSPSCDes,MATCH(INDIRECT(ADDRESS(ROW(),COLUMN()-1,4)),UNSPSCCode,0)),IF(INDIRECT(ADDRESS(ROW(),COLUMN()-1,4))="50221101","Grano de cereal",""))</f>
        <v>Grano de cereal</v>
      </c>
      <c r="C958" s="41" t="str">
        <f>IFERROR(VLOOKUP("LB",'[1]Informacion '!P:Q,2,FALSE),"")</f>
        <v>Libra </v>
      </c>
      <c r="D958" s="39">
        <v>2875</v>
      </c>
      <c r="E958" s="42">
        <v>27</v>
      </c>
      <c r="F958" s="43">
        <f t="shared" ca="1" si="42"/>
        <v>77625</v>
      </c>
    </row>
    <row r="959" spans="1:6" ht="33.75" x14ac:dyDescent="0.25">
      <c r="A959" s="39" t="s">
        <v>60</v>
      </c>
      <c r="B959" s="40" t="str">
        <f ca="1">IFERROR(INDEX(UNSPSCDes,MATCH(INDIRECT(ADDRESS(ROW(),COLUMN()-1,4)),UNSPSCCode,0)),IF(INDIRECT(ADDRESS(ROW(),COLUMN()-1,4))="50161814","Azúcar o sustituto de azúcar, confite",""))</f>
        <v>Azúcar o sustituto de azúcar, confite</v>
      </c>
      <c r="C959" s="41" t="str">
        <f>IFERROR(VLOOKUP("LB",'[1]Informacion '!P:Q,2,FALSE),"")</f>
        <v>Libra </v>
      </c>
      <c r="D959" s="39">
        <v>625</v>
      </c>
      <c r="E959" s="42">
        <v>30</v>
      </c>
      <c r="F959" s="43">
        <f t="shared" ca="1" si="42"/>
        <v>18750</v>
      </c>
    </row>
    <row r="960" spans="1:6" ht="33.75" x14ac:dyDescent="0.25">
      <c r="A960" s="39" t="s">
        <v>61</v>
      </c>
      <c r="B960" s="40" t="str">
        <f ca="1">IFERROR(INDEX(UNSPSCDes,MATCH(INDIRECT(ADDRESS(ROW(),COLUMN()-1,4)),UNSPSCCode,0)),IF(INDIRECT(ADDRESS(ROW(),COLUMN()-1,4))="50161511","Chocolate o sustituto de chocolate",""))</f>
        <v>Chocolate o sustituto de chocolate</v>
      </c>
      <c r="C960" s="41" t="str">
        <f>IFERROR(VLOOKUP("CAJ",'[1]Informacion '!P:Q,2,FALSE),"")</f>
        <v>Caja</v>
      </c>
      <c r="D960" s="39">
        <v>2</v>
      </c>
      <c r="E960" s="42">
        <v>7000</v>
      </c>
      <c r="F960" s="43">
        <f t="shared" ca="1" si="42"/>
        <v>14000</v>
      </c>
    </row>
    <row r="961" spans="1:6" ht="22.5" x14ac:dyDescent="0.25">
      <c r="A961" s="39" t="s">
        <v>62</v>
      </c>
      <c r="B961" s="40" t="str">
        <f ca="1">IFERROR(INDEX(UNSPSCDes,MATCH(INDIRECT(ADDRESS(ROW(),COLUMN()-1,4)),UNSPSCCode,0)),IF(INDIRECT(ADDRESS(ROW(),COLUMN()-1,4))="50192901","Pasta sencilla o fideos",""))</f>
        <v>Pasta sencilla o fideos</v>
      </c>
      <c r="C961" s="41" t="str">
        <f>IFERROR(VLOOKUP("LB",'[1]Informacion '!P:Q,2,FALSE),"")</f>
        <v>Libra </v>
      </c>
      <c r="D961" s="39">
        <v>30</v>
      </c>
      <c r="E961" s="42">
        <v>45</v>
      </c>
      <c r="F961" s="43">
        <f t="shared" ca="1" si="42"/>
        <v>1350</v>
      </c>
    </row>
    <row r="962" spans="1:6" ht="22.5" x14ac:dyDescent="0.25">
      <c r="A962" s="39" t="s">
        <v>62</v>
      </c>
      <c r="B962" s="40" t="str">
        <f ca="1">IFERROR(INDEX(UNSPSCDes,MATCH(INDIRECT(ADDRESS(ROW(),COLUMN()-1,4)),UNSPSCCode,0)),IF(INDIRECT(ADDRESS(ROW(),COLUMN()-1,4))="50192901","Pasta sencilla o fideos",""))</f>
        <v>Pasta sencilla o fideos</v>
      </c>
      <c r="C962" s="41" t="str">
        <f>IFERROR(VLOOKUP("LB",'[1]Informacion '!P:Q,2,FALSE),"")</f>
        <v>Libra </v>
      </c>
      <c r="D962" s="39">
        <v>30</v>
      </c>
      <c r="E962" s="42">
        <v>45</v>
      </c>
      <c r="F962" s="43">
        <f t="shared" ca="1" si="42"/>
        <v>1350</v>
      </c>
    </row>
    <row r="963" spans="1:6" ht="22.5" x14ac:dyDescent="0.25">
      <c r="A963" s="39" t="s">
        <v>62</v>
      </c>
      <c r="B963" s="40" t="str">
        <f ca="1">IFERROR(INDEX(UNSPSCDes,MATCH(INDIRECT(ADDRESS(ROW(),COLUMN()-1,4)),UNSPSCCode,0)),IF(INDIRECT(ADDRESS(ROW(),COLUMN()-1,4))="50192901","Pasta sencilla o fideos",""))</f>
        <v>Pasta sencilla o fideos</v>
      </c>
      <c r="C963" s="41" t="str">
        <f>IFERROR(VLOOKUP("LB",'[1]Informacion '!P:Q,2,FALSE),"")</f>
        <v>Libra </v>
      </c>
      <c r="D963" s="39">
        <v>30</v>
      </c>
      <c r="E963" s="42">
        <v>45</v>
      </c>
      <c r="F963" s="43">
        <f t="shared" ca="1" si="42"/>
        <v>1350</v>
      </c>
    </row>
    <row r="964" spans="1:6" ht="45" x14ac:dyDescent="0.25">
      <c r="A964" s="39" t="s">
        <v>63</v>
      </c>
      <c r="B964" s="40" t="str">
        <f ca="1">IFERROR(INDEX(UNSPSCDes,MATCH(INDIRECT(ADDRESS(ROW(),COLUMN()-1,4)),UNSPSCCode,0)),IF(INDIRECT(ADDRESS(ROW(),COLUMN()-1,4))="50131701","Productos de leche o mantequilla frescos",""))</f>
        <v>Productos de leche o mantequilla frescos</v>
      </c>
      <c r="C964" s="41" t="str">
        <f>IFERROR(VLOOKUP("LB",'[1]Informacion '!P:Q,2,FALSE),"")</f>
        <v>Libra </v>
      </c>
      <c r="D964" s="39">
        <v>10</v>
      </c>
      <c r="E964" s="42">
        <v>9300</v>
      </c>
      <c r="F964" s="43">
        <f t="shared" ca="1" si="42"/>
        <v>93000</v>
      </c>
    </row>
    <row r="965" spans="1:6" x14ac:dyDescent="0.25">
      <c r="A965" s="39" t="s">
        <v>64</v>
      </c>
      <c r="B965" s="40" t="str">
        <f ca="1">IFERROR(INDEX(UNSPSCDes,MATCH(INDIRECT(ADDRESS(ROW(),COLUMN()-1,4)),UNSPSCCode,0)),IF(INDIRECT(ADDRESS(ROW(),COLUMN()-1,4))="50192112","Maíz pira",""))</f>
        <v>Maíz pira</v>
      </c>
      <c r="C965" s="41" t="str">
        <f>IFERROR(VLOOKUP("CAJ",'[1]Informacion '!P:Q,2,FALSE),"")</f>
        <v>Caja</v>
      </c>
      <c r="D965" s="39">
        <v>10</v>
      </c>
      <c r="E965" s="42">
        <v>1500</v>
      </c>
      <c r="F965" s="43">
        <f t="shared" ca="1" si="42"/>
        <v>15000</v>
      </c>
    </row>
    <row r="966" spans="1:6" x14ac:dyDescent="0.25">
      <c r="A966" s="39" t="s">
        <v>65</v>
      </c>
      <c r="B966" s="40" t="str">
        <f ca="1">IFERROR(INDEX(UNSPSCDes,MATCH(INDIRECT(ADDRESS(ROW(),COLUMN()-1,4)),UNSPSCCode,0)),IF(INDIRECT(ADDRESS(ROW(),COLUMN()-1,4))="50221102","Grano de harina",""))</f>
        <v>Grano de harina</v>
      </c>
      <c r="C966" s="41" t="str">
        <f>IFERROR(VLOOKUP("CAJ",'[1]Informacion '!P:Q,2,FALSE),"")</f>
        <v>Caja</v>
      </c>
      <c r="D966" s="39">
        <v>1</v>
      </c>
      <c r="E966" s="42">
        <v>3900</v>
      </c>
      <c r="F966" s="43">
        <f t="shared" ca="1" si="42"/>
        <v>3900</v>
      </c>
    </row>
    <row r="967" spans="1:6" ht="22.5" x14ac:dyDescent="0.25">
      <c r="A967" s="39" t="s">
        <v>66</v>
      </c>
      <c r="B967" s="40" t="str">
        <f ca="1">IFERROR(INDEX(UNSPSCDes,MATCH(INDIRECT(ADDRESS(ROW(),COLUMN()-1,4)),UNSPSCCode,0)),IF(INDIRECT(ADDRESS(ROW(),COLUMN()-1,4))="50171831","Salsas para cocinar",""))</f>
        <v>Salsas para cocinar</v>
      </c>
      <c r="C967" s="41" t="str">
        <f>IFERROR(VLOOKUP("CAJ",'[1]Informacion '!P:Q,2,FALSE),"")</f>
        <v>Caja</v>
      </c>
      <c r="D967" s="39">
        <v>5</v>
      </c>
      <c r="E967" s="42">
        <v>4100</v>
      </c>
      <c r="F967" s="43">
        <f t="shared" ca="1" si="42"/>
        <v>20500</v>
      </c>
    </row>
    <row r="968" spans="1:6" x14ac:dyDescent="0.25">
      <c r="A968" s="39" t="s">
        <v>58</v>
      </c>
      <c r="B968" s="40" t="str">
        <f ca="1">IFERROR(INDEX(UNSPSCDes,MATCH(INDIRECT(ADDRESS(ROW(),COLUMN()-1,4)),UNSPSCCode,0)),IF(INDIRECT(ADDRESS(ROW(),COLUMN()-1,4))="50221101","Grano de cereal",""))</f>
        <v>Grano de cereal</v>
      </c>
      <c r="C968" s="41" t="str">
        <f>IFERROR(VLOOKUP("LB",'[1]Informacion '!P:Q,2,FALSE),"")</f>
        <v>Libra </v>
      </c>
      <c r="D968" s="39">
        <v>100</v>
      </c>
      <c r="E968" s="42">
        <v>45</v>
      </c>
      <c r="F968" s="43">
        <f t="shared" ca="1" si="42"/>
        <v>4500</v>
      </c>
    </row>
    <row r="969" spans="1:6" x14ac:dyDescent="0.25">
      <c r="A969" s="39" t="s">
        <v>65</v>
      </c>
      <c r="B969" s="40" t="str">
        <f ca="1">IFERROR(INDEX(UNSPSCDes,MATCH(INDIRECT(ADDRESS(ROW(),COLUMN()-1,4)),UNSPSCCode,0)),IF(INDIRECT(ADDRESS(ROW(),COLUMN()-1,4))="50221102","Grano de harina",""))</f>
        <v>Grano de harina</v>
      </c>
      <c r="C969" s="41" t="str">
        <f>IFERROR(VLOOKUP("LB",'[1]Informacion '!P:Q,2,FALSE),"")</f>
        <v>Libra </v>
      </c>
      <c r="D969" s="39">
        <v>50</v>
      </c>
      <c r="E969" s="42">
        <v>26</v>
      </c>
      <c r="F969" s="43">
        <f t="shared" ca="1" si="42"/>
        <v>1300</v>
      </c>
    </row>
    <row r="970" spans="1:6" x14ac:dyDescent="0.25">
      <c r="A970" s="39" t="s">
        <v>67</v>
      </c>
      <c r="B970" s="40" t="str">
        <f ca="1">IFERROR(INDEX(UNSPSCDes,MATCH(INDIRECT(ADDRESS(ROW(),COLUMN()-1,4)),UNSPSCCode,0)),IF(INDIRECT(ADDRESS(ROW(),COLUMN()-1,4))="50171707","Vinagres",""))</f>
        <v>Vinagres</v>
      </c>
      <c r="C970" s="41" t="str">
        <f>IFERROR(VLOOKUP("CAJ",'[1]Informacion '!P:Q,2,FALSE),"")</f>
        <v>Caja</v>
      </c>
      <c r="D970" s="39">
        <v>5</v>
      </c>
      <c r="E970" s="42">
        <v>1650</v>
      </c>
      <c r="F970" s="43">
        <f t="shared" ca="1" si="42"/>
        <v>8250</v>
      </c>
    </row>
    <row r="971" spans="1:6" ht="27" customHeight="1" x14ac:dyDescent="0.25">
      <c r="A971" s="39" t="s">
        <v>63</v>
      </c>
      <c r="B971" s="40" t="str">
        <f ca="1">IFERROR(INDEX(UNSPSCDes,MATCH(INDIRECT(ADDRESS(ROW(),COLUMN()-1,4)),UNSPSCCode,0)),IF(INDIRECT(ADDRESS(ROW(),COLUMN()-1,4))="50131701","Productos de leche o mantequilla frescos",""))</f>
        <v>Productos de leche o mantequilla frescos</v>
      </c>
      <c r="C971" s="41" t="str">
        <f>IFERROR(VLOOKUP("CAJ",'[1]Informacion '!P:Q,2,FALSE),"")</f>
        <v>Caja</v>
      </c>
      <c r="D971" s="39">
        <v>3</v>
      </c>
      <c r="E971" s="42">
        <v>2500</v>
      </c>
      <c r="F971" s="43">
        <f t="shared" ca="1" si="42"/>
        <v>7500</v>
      </c>
    </row>
    <row r="972" spans="1:6" x14ac:dyDescent="0.25">
      <c r="A972" s="39" t="s">
        <v>68</v>
      </c>
      <c r="B972" s="40" t="str">
        <f ca="1">IFERROR(INDEX(UNSPSCDes,MATCH(INDIRECT(ADDRESS(ROW(),COLUMN()-1,4)),UNSPSCCode,0)),IF(INDIRECT(ADDRESS(ROW(),COLUMN()-1,4))="50201706","Café",""))</f>
        <v>Café</v>
      </c>
      <c r="C972" s="41" t="str">
        <f>IFERROR(VLOOKUP("UD",'[1]Informacion '!P:Q,2,FALSE),"")</f>
        <v>Unidad</v>
      </c>
      <c r="D972" s="39">
        <v>5</v>
      </c>
      <c r="E972" s="42">
        <v>6000</v>
      </c>
      <c r="F972" s="43">
        <f t="shared" ca="1" si="42"/>
        <v>30000</v>
      </c>
    </row>
    <row r="973" spans="1:6" ht="22.5" x14ac:dyDescent="0.25">
      <c r="A973" s="39" t="s">
        <v>69</v>
      </c>
      <c r="B973" s="40" t="str">
        <f ca="1">IFERROR(INDEX(UNSPSCDes,MATCH(INDIRECT(ADDRESS(ROW(),COLUMN()-1,4)),UNSPSCCode,0)),IF(INDIRECT(ADDRESS(ROW(),COLUMN()-1,4))="50101716","Nueces y semillas enteras",""))</f>
        <v>Nueces y semillas enteras</v>
      </c>
      <c r="C973" s="41" t="str">
        <f>IFERROR(VLOOKUP("CAJ",'[1]Informacion '!P:Q,2,FALSE),"")</f>
        <v>Caja</v>
      </c>
      <c r="D973" s="39">
        <v>1</v>
      </c>
      <c r="E973" s="42">
        <v>4600</v>
      </c>
      <c r="F973" s="43">
        <f t="shared" ca="1" si="42"/>
        <v>4600</v>
      </c>
    </row>
    <row r="974" spans="1:6" x14ac:dyDescent="0.25">
      <c r="A974" s="39" t="s">
        <v>70</v>
      </c>
      <c r="B974" s="40" t="str">
        <f ca="1">IFERROR(INDEX(UNSPSCDes,MATCH(INDIRECT(ADDRESS(ROW(),COLUMN()-1,4)),UNSPSCCode,0)),IF(INDIRECT(ADDRESS(ROW(),COLUMN()-1,4))="50181909","Galletas de soda",""))</f>
        <v>Galletas de soda</v>
      </c>
      <c r="C974" s="41" t="str">
        <f>IFERROR(VLOOKUP("CAJ",'[1]Informacion '!P:Q,2,FALSE),"")</f>
        <v>Caja</v>
      </c>
      <c r="D974" s="39">
        <v>14</v>
      </c>
      <c r="E974" s="42">
        <v>1100</v>
      </c>
      <c r="F974" s="43">
        <f t="shared" ca="1" si="42"/>
        <v>15400</v>
      </c>
    </row>
    <row r="975" spans="1:6" x14ac:dyDescent="0.25">
      <c r="A975" s="39" t="s">
        <v>65</v>
      </c>
      <c r="B975" s="40" t="str">
        <f ca="1">IFERROR(INDEX(UNSPSCDes,MATCH(INDIRECT(ADDRESS(ROW(),COLUMN()-1,4)),UNSPSCCode,0)),IF(INDIRECT(ADDRESS(ROW(),COLUMN()-1,4))="50221102","Grano de harina",""))</f>
        <v>Grano de harina</v>
      </c>
      <c r="C975" s="41" t="str">
        <f>IFERROR(VLOOKUP("CAJ",'[1]Informacion '!P:Q,2,FALSE),"")</f>
        <v>Caja</v>
      </c>
      <c r="D975" s="39">
        <v>1</v>
      </c>
      <c r="E975" s="42">
        <v>5100</v>
      </c>
      <c r="F975" s="43">
        <f t="shared" ca="1" si="42"/>
        <v>5100</v>
      </c>
    </row>
    <row r="976" spans="1:6" ht="33.75" x14ac:dyDescent="0.25">
      <c r="A976" s="39" t="s">
        <v>99</v>
      </c>
      <c r="B976" s="40" t="str">
        <f ca="1">IFERROR(INDEX(UNSPSCDes,MATCH(INDIRECT(ADDRESS(ROW(),COLUMN()-1,4)),UNSPSCCode,0)),IF(INDIRECT(ADDRESS(ROW(),COLUMN()-1,4))="50121538","Pescado almacenado en repisa",""))</f>
        <v>Pescado almacenado en repisa</v>
      </c>
      <c r="C976" s="41" t="str">
        <f>IFERROR(VLOOKUP("CAJ",'[1]Informacion '!P:Q,2,FALSE),"")</f>
        <v>Caja</v>
      </c>
      <c r="D976" s="39">
        <v>6</v>
      </c>
      <c r="E976" s="42">
        <v>3810</v>
      </c>
      <c r="F976" s="43">
        <f t="shared" ca="1" si="42"/>
        <v>22860</v>
      </c>
    </row>
    <row r="977" spans="1:6" ht="33.75" x14ac:dyDescent="0.25">
      <c r="A977" s="39" t="s">
        <v>99</v>
      </c>
      <c r="B977" s="40" t="str">
        <f ca="1">IFERROR(INDEX(UNSPSCDes,MATCH(INDIRECT(ADDRESS(ROW(),COLUMN()-1,4)),UNSPSCCode,0)),IF(INDIRECT(ADDRESS(ROW(),COLUMN()-1,4))="50121538","Pescado almacenado en repisa",""))</f>
        <v>Pescado almacenado en repisa</v>
      </c>
      <c r="C977" s="41" t="str">
        <f>IFERROR(VLOOKUP("LB",'[1]Informacion '!P:Q,2,FALSE),"")</f>
        <v>Libra </v>
      </c>
      <c r="D977" s="39">
        <v>5</v>
      </c>
      <c r="E977" s="42">
        <v>10500</v>
      </c>
      <c r="F977" s="43">
        <f t="shared" ca="1" si="42"/>
        <v>52500</v>
      </c>
    </row>
    <row r="978" spans="1:6" ht="45" x14ac:dyDescent="0.25">
      <c r="A978" s="39" t="s">
        <v>63</v>
      </c>
      <c r="B978" s="40" t="str">
        <f ca="1">IFERROR(INDEX(UNSPSCDes,MATCH(INDIRECT(ADDRESS(ROW(),COLUMN()-1,4)),UNSPSCCode,0)),IF(INDIRECT(ADDRESS(ROW(),COLUMN()-1,4))="50131701","Productos de leche o mantequilla frescos",""))</f>
        <v>Productos de leche o mantequilla frescos</v>
      </c>
      <c r="C978" s="41" t="str">
        <f>IFERROR(VLOOKUP("CAJ",'[1]Informacion '!P:Q,2,FALSE),"")</f>
        <v>Caja</v>
      </c>
      <c r="D978" s="39">
        <v>1</v>
      </c>
      <c r="E978" s="42">
        <v>3000</v>
      </c>
      <c r="F978" s="43">
        <f t="shared" ca="1" si="42"/>
        <v>3000</v>
      </c>
    </row>
    <row r="979" spans="1:6" x14ac:dyDescent="0.25">
      <c r="A979" s="39" t="s">
        <v>65</v>
      </c>
      <c r="B979" s="40" t="str">
        <f ca="1">IFERROR(INDEX(UNSPSCDes,MATCH(INDIRECT(ADDRESS(ROW(),COLUMN()-1,4)),UNSPSCCode,0)),IF(INDIRECT(ADDRESS(ROW(),COLUMN()-1,4))="50221102","Grano de harina",""))</f>
        <v>Grano de harina</v>
      </c>
      <c r="C979" s="41" t="str">
        <f>IFERROR(VLOOKUP("LB",'[1]Informacion '!P:Q,2,FALSE),"")</f>
        <v>Libra </v>
      </c>
      <c r="D979" s="39">
        <v>60</v>
      </c>
      <c r="E979" s="42">
        <v>35</v>
      </c>
      <c r="F979" s="43">
        <f t="shared" ca="1" si="42"/>
        <v>2100</v>
      </c>
    </row>
    <row r="980" spans="1:6" ht="22.5" x14ac:dyDescent="0.25">
      <c r="A980" s="39" t="s">
        <v>71</v>
      </c>
      <c r="B980" s="40" t="str">
        <f ca="1">IFERROR(INDEX(UNSPSCDes,MATCH(INDIRECT(ADDRESS(ROW(),COLUMN()-1,4)),UNSPSCCode,0)),IF(INDIRECT(ADDRESS(ROW(),COLUMN()-1,4))="50121537","Pescado congelado",""))</f>
        <v>Pescado congelado</v>
      </c>
      <c r="C980" s="41" t="str">
        <f>IFERROR(VLOOKUP("CAJ",'[1]Informacion '!P:Q,2,FALSE),"")</f>
        <v>Caja</v>
      </c>
      <c r="D980" s="39">
        <v>12</v>
      </c>
      <c r="E980" s="42">
        <v>2500</v>
      </c>
      <c r="F980" s="43">
        <f t="shared" ca="1" si="42"/>
        <v>30000</v>
      </c>
    </row>
    <row r="981" spans="1:6" x14ac:dyDescent="0.25">
      <c r="A981" s="39" t="s">
        <v>72</v>
      </c>
      <c r="B981" s="40" t="str">
        <f ca="1">IFERROR(INDEX(UNSPSCDes,MATCH(INDIRECT(ADDRESS(ROW(),COLUMN()-1,4)),UNSPSCCode,0)),IF(INDIRECT(ADDRESS(ROW(),COLUMN()-1,4))="50171551","Sal de mesa",""))</f>
        <v>Sal de mesa</v>
      </c>
      <c r="C981" s="41" t="str">
        <f>IFERROR(VLOOKUP("LB",'[1]Informacion '!P:Q,2,FALSE),"")</f>
        <v>Libra </v>
      </c>
      <c r="D981" s="39">
        <v>200</v>
      </c>
      <c r="E981" s="42">
        <v>16</v>
      </c>
      <c r="F981" s="43">
        <f t="shared" ca="1" si="42"/>
        <v>3200</v>
      </c>
    </row>
    <row r="982" spans="1:6" ht="22.5" x14ac:dyDescent="0.25">
      <c r="A982" s="39" t="s">
        <v>66</v>
      </c>
      <c r="B982" s="40" t="str">
        <f ca="1">IFERROR(INDEX(UNSPSCDes,MATCH(INDIRECT(ADDRESS(ROW(),COLUMN()-1,4)),UNSPSCCode,0)),IF(INDIRECT(ADDRESS(ROW(),COLUMN()-1,4))="50171831","Salsas para cocinar",""))</f>
        <v>Salsas para cocinar</v>
      </c>
      <c r="C982" s="41" t="str">
        <f>IFERROR(VLOOKUP("GAL",'[1]Informacion '!P:Q,2,FALSE),"")</f>
        <v>Galón</v>
      </c>
      <c r="D982" s="39">
        <v>4</v>
      </c>
      <c r="E982" s="42">
        <v>1300</v>
      </c>
      <c r="F982" s="43">
        <f t="shared" ca="1" si="42"/>
        <v>5200</v>
      </c>
    </row>
    <row r="983" spans="1:6" x14ac:dyDescent="0.25">
      <c r="A983" s="39" t="s">
        <v>73</v>
      </c>
      <c r="B983" s="40" t="str">
        <f ca="1">IFERROR(INDEX(UNSPSCDes,MATCH(INDIRECT(ADDRESS(ROW(),COLUMN()-1,4)),UNSPSCCode,0)),IF(INDIRECT(ADDRESS(ROW(),COLUMN()-1,4))="50171903","Aceitunas",""))</f>
        <v>Aceitunas</v>
      </c>
      <c r="C983" s="41" t="str">
        <f>IFERROR(VLOOKUP("CAJ",'[1]Informacion '!P:Q,2,FALSE),"")</f>
        <v>Caja</v>
      </c>
      <c r="D983" s="39">
        <v>1</v>
      </c>
      <c r="E983" s="42">
        <v>1150</v>
      </c>
      <c r="F983" s="43">
        <f t="shared" ca="1" si="42"/>
        <v>1150</v>
      </c>
    </row>
    <row r="984" spans="1:6" x14ac:dyDescent="0.25">
      <c r="A984" s="39" t="s">
        <v>73</v>
      </c>
      <c r="B984" s="40" t="str">
        <f ca="1">IFERROR(INDEX(UNSPSCDes,MATCH(INDIRECT(ADDRESS(ROW(),COLUMN()-1,4)),UNSPSCCode,0)),IF(INDIRECT(ADDRESS(ROW(),COLUMN()-1,4))="50171903","Aceitunas",""))</f>
        <v>Aceitunas</v>
      </c>
      <c r="C984" s="41" t="str">
        <f>IFERROR(VLOOKUP("CAJ",'[1]Informacion '!P:Q,2,FALSE),"")</f>
        <v>Caja</v>
      </c>
      <c r="D984" s="39">
        <v>1</v>
      </c>
      <c r="E984" s="42">
        <v>1150</v>
      </c>
      <c r="F984" s="43">
        <f t="shared" ca="1" si="42"/>
        <v>1150</v>
      </c>
    </row>
    <row r="985" spans="1:6" ht="45" x14ac:dyDescent="0.25">
      <c r="A985" s="39" t="s">
        <v>63</v>
      </c>
      <c r="B985" s="40" t="str">
        <f ca="1">IFERROR(INDEX(UNSPSCDes,MATCH(INDIRECT(ADDRESS(ROW(),COLUMN()-1,4)),UNSPSCCode,0)),IF(INDIRECT(ADDRESS(ROW(),COLUMN()-1,4))="50131701","Productos de leche o mantequilla frescos",""))</f>
        <v>Productos de leche o mantequilla frescos</v>
      </c>
      <c r="C985" s="41" t="str">
        <f>IFERROR(VLOOKUP("CAJ",'[1]Informacion '!P:Q,2,FALSE),"")</f>
        <v>Caja</v>
      </c>
      <c r="D985" s="39">
        <v>2</v>
      </c>
      <c r="E985" s="42">
        <v>3258.75</v>
      </c>
      <c r="F985" s="43">
        <f t="shared" ca="1" si="42"/>
        <v>6517.5</v>
      </c>
    </row>
    <row r="986" spans="1:6" ht="22.5" x14ac:dyDescent="0.25">
      <c r="A986" s="39" t="s">
        <v>74</v>
      </c>
      <c r="B986" s="40" t="str">
        <f ca="1">IFERROR(INDEX(UNSPSCDes,MATCH(INDIRECT(ADDRESS(ROW(),COLUMN()-1,4)),UNSPSCCode,0)),IF(INDIRECT(ADDRESS(ROW(),COLUMN()-1,4))="50171708","Vinos para cocinar",""))</f>
        <v>Vinos para cocinar</v>
      </c>
      <c r="C986" s="41" t="str">
        <f>IFERROR(VLOOKUP("CAJ",'[1]Informacion '!P:Q,2,FALSE),"")</f>
        <v>Caja</v>
      </c>
      <c r="D986" s="39">
        <v>1</v>
      </c>
      <c r="E986" s="42">
        <v>1700</v>
      </c>
      <c r="F986" s="43">
        <f t="shared" ca="1" si="42"/>
        <v>1700</v>
      </c>
    </row>
    <row r="987" spans="1:6" ht="45" x14ac:dyDescent="0.25">
      <c r="A987" s="39" t="s">
        <v>45</v>
      </c>
      <c r="B987" s="40" t="str">
        <f ca="1">IFERROR(INDEX(UNSPSCDes,MATCH(INDIRECT(ADDRESS(ROW(),COLUMN()-1,4)),UNSPSCCode,0)),IF(INDIRECT(ADDRESS(ROW(),COLUMN()-1,4))="50151513","Aceites vegetales o  de planta comestibles",""))</f>
        <v>Aceites vegetales o  de planta comestibles</v>
      </c>
      <c r="C987" s="41" t="str">
        <f>IFERROR(VLOOKUP("LB",'[1]Informacion '!P:Q,2,FALSE),"")</f>
        <v>Libra </v>
      </c>
      <c r="D987" s="39">
        <v>20</v>
      </c>
      <c r="E987" s="42">
        <v>400</v>
      </c>
      <c r="F987" s="43">
        <f t="shared" ca="1" si="42"/>
        <v>8000</v>
      </c>
    </row>
    <row r="988" spans="1:6" ht="21" customHeight="1" x14ac:dyDescent="0.25">
      <c r="A988" s="39" t="s">
        <v>67</v>
      </c>
      <c r="B988" s="40" t="str">
        <f ca="1">IFERROR(INDEX(UNSPSCDes,MATCH(INDIRECT(ADDRESS(ROW(),COLUMN()-1,4)),UNSPSCCode,0)),IF(INDIRECT(ADDRESS(ROW(),COLUMN()-1,4))="50171707","Vinagres",""))</f>
        <v>Vinagres</v>
      </c>
      <c r="C988" s="41" t="str">
        <f>IFERROR(VLOOKUP("CAJ",'[1]Informacion '!P:Q,2,FALSE),"")</f>
        <v>Caja</v>
      </c>
      <c r="D988" s="39">
        <v>2</v>
      </c>
      <c r="E988" s="42">
        <v>1650</v>
      </c>
      <c r="F988" s="43">
        <f t="shared" ca="1" si="42"/>
        <v>3300</v>
      </c>
    </row>
    <row r="989" spans="1:6" x14ac:dyDescent="0.25">
      <c r="A989" s="46"/>
      <c r="B989" s="46"/>
      <c r="C989" s="46"/>
      <c r="D989" s="46"/>
      <c r="E989" s="44" t="s">
        <v>46</v>
      </c>
      <c r="F989" s="45">
        <f ca="1">SUM(Table30[MONTO TOTAL ESTIMADO])</f>
        <v>520552.5</v>
      </c>
    </row>
    <row r="990" spans="1:6" ht="15.75" thickBot="1" x14ac:dyDescent="0.3">
      <c r="A990" s="46"/>
      <c r="B990" s="46"/>
      <c r="C990" s="46"/>
      <c r="D990" s="46"/>
      <c r="E990" s="46"/>
      <c r="F990" s="46"/>
    </row>
    <row r="991" spans="1:6" ht="34.5" thickBot="1" x14ac:dyDescent="0.3">
      <c r="A991" s="29" t="s">
        <v>18</v>
      </c>
      <c r="B991" s="29" t="s">
        <v>19</v>
      </c>
      <c r="C991" s="29" t="s">
        <v>20</v>
      </c>
      <c r="D991" s="29" t="s">
        <v>21</v>
      </c>
      <c r="E991" s="29" t="s">
        <v>22</v>
      </c>
      <c r="F991" s="29" t="s">
        <v>23</v>
      </c>
    </row>
    <row r="992" spans="1:6" ht="15.75" thickBot="1" x14ac:dyDescent="0.3">
      <c r="A992" s="30" t="s">
        <v>100</v>
      </c>
      <c r="B992" s="30" t="s">
        <v>101</v>
      </c>
      <c r="C992" s="30" t="s">
        <v>26</v>
      </c>
      <c r="D992" s="30" t="s">
        <v>27</v>
      </c>
      <c r="E992" s="30" t="s">
        <v>28</v>
      </c>
      <c r="F992" s="30"/>
    </row>
    <row r="993" spans="1:6" ht="15.75" thickBot="1" x14ac:dyDescent="0.3">
      <c r="A993" s="31" t="s">
        <v>29</v>
      </c>
      <c r="B993" s="32" t="s">
        <v>30</v>
      </c>
      <c r="C993" s="33">
        <v>46240</v>
      </c>
      <c r="D993" s="31" t="s">
        <v>31</v>
      </c>
      <c r="E993" s="34" t="s">
        <v>32</v>
      </c>
      <c r="F993" s="35" t="s">
        <v>33</v>
      </c>
    </row>
    <row r="994" spans="1:6" ht="15.75" thickBot="1" x14ac:dyDescent="0.3">
      <c r="A994" s="36"/>
      <c r="B994" s="32" t="s">
        <v>34</v>
      </c>
      <c r="C994" s="37">
        <f>IF(C993="","",IF(AND(MONTH(C993)&gt;=1,MONTH(C993)&lt;=3),1,IF(AND(MONTH(C993)&gt;=4,MONTH(C993)&lt;=6),2,IF(AND(MONTH(C993)&gt;=7,MONTH(C993)&lt;=9),3,4))))</f>
        <v>3</v>
      </c>
      <c r="D994" s="36"/>
      <c r="E994" s="34" t="s">
        <v>35</v>
      </c>
      <c r="F994" s="35"/>
    </row>
    <row r="995" spans="1:6" ht="15.75" thickBot="1" x14ac:dyDescent="0.3">
      <c r="A995" s="36"/>
      <c r="B995" s="32" t="s">
        <v>36</v>
      </c>
      <c r="C995" s="33">
        <v>46246</v>
      </c>
      <c r="D995" s="36"/>
      <c r="E995" s="34" t="s">
        <v>37</v>
      </c>
      <c r="F995" s="35"/>
    </row>
    <row r="996" spans="1:6" ht="15.75" thickBot="1" x14ac:dyDescent="0.3">
      <c r="A996" s="36"/>
      <c r="B996" s="32" t="s">
        <v>34</v>
      </c>
      <c r="C996" s="37">
        <f>IF(C995="","",IF(AND(MONTH(C995)&gt;=1,MONTH(C995)&lt;=3),1,IF(AND(MONTH(C995)&gt;=4,MONTH(C995)&lt;=6),2,IF(AND(MONTH(C995)&gt;=7,MONTH(C995)&lt;=9),3,4))))</f>
        <v>3</v>
      </c>
      <c r="D996" s="36"/>
      <c r="E996" s="34" t="s">
        <v>38</v>
      </c>
      <c r="F996" s="35"/>
    </row>
    <row r="997" spans="1:6" ht="15.75" thickBot="1" x14ac:dyDescent="0.3">
      <c r="A997" s="46"/>
      <c r="B997" s="46"/>
      <c r="C997" s="46"/>
      <c r="D997" s="46"/>
      <c r="E997" s="46"/>
      <c r="F997" s="46"/>
    </row>
    <row r="998" spans="1:6" ht="15.75" thickBot="1" x14ac:dyDescent="0.3">
      <c r="A998" s="38" t="s">
        <v>39</v>
      </c>
      <c r="B998" s="38" t="s">
        <v>40</v>
      </c>
      <c r="C998" s="38" t="s">
        <v>41</v>
      </c>
      <c r="D998" s="38" t="s">
        <v>42</v>
      </c>
      <c r="E998" s="38" t="s">
        <v>43</v>
      </c>
      <c r="F998" s="38" t="s">
        <v>44</v>
      </c>
    </row>
    <row r="999" spans="1:6" ht="45" x14ac:dyDescent="0.25">
      <c r="A999" s="39" t="s">
        <v>102</v>
      </c>
      <c r="B999" s="40" t="str">
        <f t="shared" ref="B999:B1006" ca="1" si="43">IFERROR(INDEX(UNSPSCDes,MATCH(INDIRECT(ADDRESS(ROW(),COLUMN()-1,4)),UNSPSCCode,0)),IF(INDIRECT(ADDRESS(ROW(),COLUMN()-1,4))="50112001","Carnes procesadas y preparadas fresco",""))</f>
        <v>Carnes procesadas y preparadas fresco</v>
      </c>
      <c r="C999" s="41" t="str">
        <f>IFERROR(VLOOKUP("LB",'[1]Informacion '!P:Q,2,FALSE),"")</f>
        <v>Libra </v>
      </c>
      <c r="D999" s="39">
        <v>1800</v>
      </c>
      <c r="E999" s="42">
        <v>127.4</v>
      </c>
      <c r="F999" s="43">
        <f t="shared" ref="F999:F1006" ca="1" si="44">INDIRECT(ADDRESS(ROW(),COLUMN()-2,4))*INDIRECT(ADDRESS(ROW(),COLUMN()-1,4))</f>
        <v>229320</v>
      </c>
    </row>
    <row r="1000" spans="1:6" ht="45" x14ac:dyDescent="0.25">
      <c r="A1000" s="39" t="s">
        <v>102</v>
      </c>
      <c r="B1000" s="40" t="str">
        <f t="shared" ca="1" si="43"/>
        <v>Carnes procesadas y preparadas fresco</v>
      </c>
      <c r="C1000" s="41" t="str">
        <f>IFERROR(VLOOKUP("LB",'[1]Informacion '!P:Q,2,FALSE),"")</f>
        <v>Libra </v>
      </c>
      <c r="D1000" s="39">
        <v>1500</v>
      </c>
      <c r="E1000" s="42">
        <v>125</v>
      </c>
      <c r="F1000" s="43">
        <f t="shared" ca="1" si="44"/>
        <v>187500</v>
      </c>
    </row>
    <row r="1001" spans="1:6" ht="45" x14ac:dyDescent="0.25">
      <c r="A1001" s="39" t="s">
        <v>102</v>
      </c>
      <c r="B1001" s="40" t="str">
        <f t="shared" ca="1" si="43"/>
        <v>Carnes procesadas y preparadas fresco</v>
      </c>
      <c r="C1001" s="41" t="str">
        <f>IFERROR(VLOOKUP("PAQ",'[1]Informacion '!P:Q,2,FALSE),"")</f>
        <v>Paquete</v>
      </c>
      <c r="D1001" s="39">
        <v>300</v>
      </c>
      <c r="E1001" s="42">
        <v>400</v>
      </c>
      <c r="F1001" s="43">
        <f t="shared" ca="1" si="44"/>
        <v>120000</v>
      </c>
    </row>
    <row r="1002" spans="1:6" ht="45" x14ac:dyDescent="0.25">
      <c r="A1002" s="39" t="s">
        <v>102</v>
      </c>
      <c r="B1002" s="40" t="str">
        <f t="shared" ca="1" si="43"/>
        <v>Carnes procesadas y preparadas fresco</v>
      </c>
      <c r="C1002" s="41" t="str">
        <f>IFERROR(VLOOKUP("LB",'[1]Informacion '!P:Q,2,FALSE),"")</f>
        <v>Libra </v>
      </c>
      <c r="D1002" s="39">
        <v>900</v>
      </c>
      <c r="E1002" s="42">
        <v>600</v>
      </c>
      <c r="F1002" s="43">
        <f t="shared" ca="1" si="44"/>
        <v>540000</v>
      </c>
    </row>
    <row r="1003" spans="1:6" ht="45" x14ac:dyDescent="0.25">
      <c r="A1003" s="39" t="s">
        <v>102</v>
      </c>
      <c r="B1003" s="40" t="str">
        <f t="shared" ca="1" si="43"/>
        <v>Carnes procesadas y preparadas fresco</v>
      </c>
      <c r="C1003" s="41" t="str">
        <f>IFERROR(VLOOKUP("LB",'[1]Informacion '!P:Q,2,FALSE),"")</f>
        <v>Libra </v>
      </c>
      <c r="D1003" s="39">
        <v>450</v>
      </c>
      <c r="E1003" s="42">
        <v>135</v>
      </c>
      <c r="F1003" s="43">
        <f t="shared" ca="1" si="44"/>
        <v>60750</v>
      </c>
    </row>
    <row r="1004" spans="1:6" ht="45" x14ac:dyDescent="0.25">
      <c r="A1004" s="39" t="s">
        <v>102</v>
      </c>
      <c r="B1004" s="40" t="str">
        <f t="shared" ca="1" si="43"/>
        <v>Carnes procesadas y preparadas fresco</v>
      </c>
      <c r="C1004" s="41" t="str">
        <f>IFERROR(VLOOKUP("LB",'[1]Informacion '!P:Q,2,FALSE),"")</f>
        <v>Libra </v>
      </c>
      <c r="D1004" s="39">
        <v>450</v>
      </c>
      <c r="E1004" s="42">
        <v>75</v>
      </c>
      <c r="F1004" s="43">
        <f t="shared" ca="1" si="44"/>
        <v>33750</v>
      </c>
    </row>
    <row r="1005" spans="1:6" ht="45" x14ac:dyDescent="0.25">
      <c r="A1005" s="39" t="s">
        <v>102</v>
      </c>
      <c r="B1005" s="40" t="str">
        <f t="shared" ca="1" si="43"/>
        <v>Carnes procesadas y preparadas fresco</v>
      </c>
      <c r="C1005" s="41" t="str">
        <f>IFERROR(VLOOKUP("LB",'[1]Informacion '!P:Q,2,FALSE),"")</f>
        <v>Libra </v>
      </c>
      <c r="D1005" s="39">
        <v>2100</v>
      </c>
      <c r="E1005" s="42">
        <v>175</v>
      </c>
      <c r="F1005" s="43">
        <f t="shared" ca="1" si="44"/>
        <v>367500</v>
      </c>
    </row>
    <row r="1006" spans="1:6" ht="45" x14ac:dyDescent="0.25">
      <c r="A1006" s="39" t="s">
        <v>102</v>
      </c>
      <c r="B1006" s="40" t="str">
        <f t="shared" ca="1" si="43"/>
        <v>Carnes procesadas y preparadas fresco</v>
      </c>
      <c r="C1006" s="41" t="str">
        <f>IFERROR(VLOOKUP("LB",'[1]Informacion '!P:Q,2,FALSE),"")</f>
        <v>Libra </v>
      </c>
      <c r="D1006" s="39">
        <v>750</v>
      </c>
      <c r="E1006" s="42">
        <v>220</v>
      </c>
      <c r="F1006" s="43">
        <f t="shared" ca="1" si="44"/>
        <v>165000</v>
      </c>
    </row>
    <row r="1007" spans="1:6" x14ac:dyDescent="0.25">
      <c r="A1007" s="46"/>
      <c r="B1007" s="46"/>
      <c r="C1007" s="46"/>
      <c r="D1007" s="46"/>
      <c r="E1007" s="44" t="s">
        <v>46</v>
      </c>
      <c r="F1007" s="45">
        <f ca="1">SUM(Table31[MONTO TOTAL ESTIMADO])</f>
        <v>1703820</v>
      </c>
    </row>
    <row r="1008" spans="1:6" ht="15.75" thickBot="1" x14ac:dyDescent="0.3">
      <c r="A1008" s="46"/>
      <c r="B1008" s="46"/>
      <c r="C1008" s="46"/>
      <c r="D1008" s="46"/>
      <c r="E1008" s="46"/>
      <c r="F1008" s="46"/>
    </row>
    <row r="1009" spans="1:6" ht="34.5" thickBot="1" x14ac:dyDescent="0.3">
      <c r="A1009" s="29" t="s">
        <v>18</v>
      </c>
      <c r="B1009" s="29" t="s">
        <v>19</v>
      </c>
      <c r="C1009" s="29" t="s">
        <v>20</v>
      </c>
      <c r="D1009" s="29" t="s">
        <v>21</v>
      </c>
      <c r="E1009" s="29" t="s">
        <v>22</v>
      </c>
      <c r="F1009" s="29" t="s">
        <v>23</v>
      </c>
    </row>
    <row r="1010" spans="1:6" ht="15.75" thickBot="1" x14ac:dyDescent="0.3">
      <c r="A1010" s="30" t="s">
        <v>100</v>
      </c>
      <c r="B1010" s="30" t="s">
        <v>101</v>
      </c>
      <c r="C1010" s="30" t="s">
        <v>26</v>
      </c>
      <c r="D1010" s="30" t="s">
        <v>27</v>
      </c>
      <c r="E1010" s="30" t="s">
        <v>28</v>
      </c>
      <c r="F1010" s="30"/>
    </row>
    <row r="1011" spans="1:6" ht="15.75" thickBot="1" x14ac:dyDescent="0.3">
      <c r="A1011" s="31" t="s">
        <v>29</v>
      </c>
      <c r="B1011" s="32" t="s">
        <v>30</v>
      </c>
      <c r="C1011" s="33">
        <v>46192</v>
      </c>
      <c r="D1011" s="31" t="s">
        <v>31</v>
      </c>
      <c r="E1011" s="34" t="s">
        <v>32</v>
      </c>
      <c r="F1011" s="35" t="s">
        <v>33</v>
      </c>
    </row>
    <row r="1012" spans="1:6" ht="15.75" thickBot="1" x14ac:dyDescent="0.3">
      <c r="A1012" s="36"/>
      <c r="B1012" s="32" t="s">
        <v>34</v>
      </c>
      <c r="C1012" s="37">
        <f>IF(C1011="","",IF(AND(MONTH(C1011)&gt;=1,MONTH(C1011)&lt;=3),1,IF(AND(MONTH(C1011)&gt;=4,MONTH(C1011)&lt;=6),2,IF(AND(MONTH(C1011)&gt;=7,MONTH(C1011)&lt;=9),3,4))))</f>
        <v>2</v>
      </c>
      <c r="D1012" s="36"/>
      <c r="E1012" s="34" t="s">
        <v>35</v>
      </c>
      <c r="F1012" s="35"/>
    </row>
    <row r="1013" spans="1:6" ht="15.75" thickBot="1" x14ac:dyDescent="0.3">
      <c r="A1013" s="36"/>
      <c r="B1013" s="32" t="s">
        <v>36</v>
      </c>
      <c r="C1013" s="33">
        <v>46193</v>
      </c>
      <c r="D1013" s="36"/>
      <c r="E1013" s="34" t="s">
        <v>37</v>
      </c>
      <c r="F1013" s="35"/>
    </row>
    <row r="1014" spans="1:6" ht="15.75" thickBot="1" x14ac:dyDescent="0.3">
      <c r="A1014" s="36"/>
      <c r="B1014" s="32" t="s">
        <v>34</v>
      </c>
      <c r="C1014" s="37">
        <f>IF(C1013="","",IF(AND(MONTH(C1013)&gt;=1,MONTH(C1013)&lt;=3),1,IF(AND(MONTH(C1013)&gt;=4,MONTH(C1013)&lt;=6),2,IF(AND(MONTH(C1013)&gt;=7,MONTH(C1013)&lt;=9),3,4))))</f>
        <v>2</v>
      </c>
      <c r="D1014" s="36"/>
      <c r="E1014" s="34" t="s">
        <v>38</v>
      </c>
      <c r="F1014" s="35"/>
    </row>
    <row r="1015" spans="1:6" ht="15.75" thickBot="1" x14ac:dyDescent="0.3">
      <c r="A1015" s="46"/>
      <c r="B1015" s="46"/>
      <c r="C1015" s="46"/>
      <c r="D1015" s="46"/>
      <c r="E1015" s="46"/>
      <c r="F1015" s="46"/>
    </row>
    <row r="1016" spans="1:6" ht="15.75" thickBot="1" x14ac:dyDescent="0.3">
      <c r="A1016" s="38" t="s">
        <v>39</v>
      </c>
      <c r="B1016" s="38" t="s">
        <v>40</v>
      </c>
      <c r="C1016" s="38" t="s">
        <v>41</v>
      </c>
      <c r="D1016" s="38" t="s">
        <v>42</v>
      </c>
      <c r="E1016" s="38" t="s">
        <v>43</v>
      </c>
      <c r="F1016" s="38" t="s">
        <v>44</v>
      </c>
    </row>
    <row r="1017" spans="1:6" ht="45" x14ac:dyDescent="0.25">
      <c r="A1017" s="39" t="s">
        <v>102</v>
      </c>
      <c r="B1017" s="40" t="str">
        <f t="shared" ref="B1017:B1024" ca="1" si="45">IFERROR(INDEX(UNSPSCDes,MATCH(INDIRECT(ADDRESS(ROW(),COLUMN()-1,4)),UNSPSCCode,0)),IF(INDIRECT(ADDRESS(ROW(),COLUMN()-1,4))="50112001","Carnes procesadas y preparadas fresco",""))</f>
        <v>Carnes procesadas y preparadas fresco</v>
      </c>
      <c r="C1017" s="41" t="str">
        <f>IFERROR(VLOOKUP("LB",'[1]Informacion '!P:Q,2,FALSE),"")</f>
        <v>Libra </v>
      </c>
      <c r="D1017" s="39">
        <v>1800</v>
      </c>
      <c r="E1017" s="42">
        <v>127.4</v>
      </c>
      <c r="F1017" s="43">
        <f t="shared" ref="F1017:F1024" ca="1" si="46">INDIRECT(ADDRESS(ROW(),COLUMN()-2,4))*INDIRECT(ADDRESS(ROW(),COLUMN()-1,4))</f>
        <v>229320</v>
      </c>
    </row>
    <row r="1018" spans="1:6" ht="45" x14ac:dyDescent="0.25">
      <c r="A1018" s="39" t="s">
        <v>102</v>
      </c>
      <c r="B1018" s="40" t="str">
        <f t="shared" ca="1" si="45"/>
        <v>Carnes procesadas y preparadas fresco</v>
      </c>
      <c r="C1018" s="41" t="str">
        <f>IFERROR(VLOOKUP("LB",'[1]Informacion '!P:Q,2,FALSE),"")</f>
        <v>Libra </v>
      </c>
      <c r="D1018" s="39">
        <v>1500</v>
      </c>
      <c r="E1018" s="42">
        <v>125</v>
      </c>
      <c r="F1018" s="43">
        <f t="shared" ca="1" si="46"/>
        <v>187500</v>
      </c>
    </row>
    <row r="1019" spans="1:6" ht="45" x14ac:dyDescent="0.25">
      <c r="A1019" s="39" t="s">
        <v>102</v>
      </c>
      <c r="B1019" s="40" t="str">
        <f t="shared" ca="1" si="45"/>
        <v>Carnes procesadas y preparadas fresco</v>
      </c>
      <c r="C1019" s="41" t="str">
        <f>IFERROR(VLOOKUP("PAQ",'[1]Informacion '!P:Q,2,FALSE),"")</f>
        <v>Paquete</v>
      </c>
      <c r="D1019" s="39">
        <v>350</v>
      </c>
      <c r="E1019" s="42">
        <v>400</v>
      </c>
      <c r="F1019" s="43">
        <f t="shared" ca="1" si="46"/>
        <v>140000</v>
      </c>
    </row>
    <row r="1020" spans="1:6" ht="45" x14ac:dyDescent="0.25">
      <c r="A1020" s="39" t="s">
        <v>102</v>
      </c>
      <c r="B1020" s="40" t="str">
        <f t="shared" ca="1" si="45"/>
        <v>Carnes procesadas y preparadas fresco</v>
      </c>
      <c r="C1020" s="41" t="str">
        <f>IFERROR(VLOOKUP("LB",'[1]Informacion '!P:Q,2,FALSE),"")</f>
        <v>Libra </v>
      </c>
      <c r="D1020" s="39">
        <v>900</v>
      </c>
      <c r="E1020" s="42">
        <v>100</v>
      </c>
      <c r="F1020" s="43">
        <f t="shared" ca="1" si="46"/>
        <v>90000</v>
      </c>
    </row>
    <row r="1021" spans="1:6" ht="45" x14ac:dyDescent="0.25">
      <c r="A1021" s="39" t="s">
        <v>102</v>
      </c>
      <c r="B1021" s="40" t="str">
        <f t="shared" ca="1" si="45"/>
        <v>Carnes procesadas y preparadas fresco</v>
      </c>
      <c r="C1021" s="41" t="str">
        <f>IFERROR(VLOOKUP("LB",'[1]Informacion '!P:Q,2,FALSE),"")</f>
        <v>Libra </v>
      </c>
      <c r="D1021" s="39">
        <v>450</v>
      </c>
      <c r="E1021" s="42">
        <v>135</v>
      </c>
      <c r="F1021" s="43">
        <f t="shared" ca="1" si="46"/>
        <v>60750</v>
      </c>
    </row>
    <row r="1022" spans="1:6" ht="45" x14ac:dyDescent="0.25">
      <c r="A1022" s="39" t="s">
        <v>102</v>
      </c>
      <c r="B1022" s="40" t="str">
        <f t="shared" ca="1" si="45"/>
        <v>Carnes procesadas y preparadas fresco</v>
      </c>
      <c r="C1022" s="41" t="str">
        <f>IFERROR(VLOOKUP("LB",'[1]Informacion '!P:Q,2,FALSE),"")</f>
        <v>Libra </v>
      </c>
      <c r="D1022" s="39">
        <v>450</v>
      </c>
      <c r="E1022" s="42">
        <v>75</v>
      </c>
      <c r="F1022" s="43">
        <f t="shared" ca="1" si="46"/>
        <v>33750</v>
      </c>
    </row>
    <row r="1023" spans="1:6" ht="45" x14ac:dyDescent="0.25">
      <c r="A1023" s="39" t="s">
        <v>102</v>
      </c>
      <c r="B1023" s="40" t="str">
        <f t="shared" ca="1" si="45"/>
        <v>Carnes procesadas y preparadas fresco</v>
      </c>
      <c r="C1023" s="41" t="str">
        <f>IFERROR(VLOOKUP("LB",'[1]Informacion '!P:Q,2,FALSE),"")</f>
        <v>Libra </v>
      </c>
      <c r="D1023" s="39">
        <v>2100</v>
      </c>
      <c r="E1023" s="42">
        <v>175</v>
      </c>
      <c r="F1023" s="43">
        <f t="shared" ca="1" si="46"/>
        <v>367500</v>
      </c>
    </row>
    <row r="1024" spans="1:6" ht="45" x14ac:dyDescent="0.25">
      <c r="A1024" s="39" t="s">
        <v>102</v>
      </c>
      <c r="B1024" s="40" t="str">
        <f t="shared" ca="1" si="45"/>
        <v>Carnes procesadas y preparadas fresco</v>
      </c>
      <c r="C1024" s="41" t="str">
        <f>IFERROR(VLOOKUP("LB",'[1]Informacion '!P:Q,2,FALSE),"")</f>
        <v>Libra </v>
      </c>
      <c r="D1024" s="39">
        <v>750</v>
      </c>
      <c r="E1024" s="42">
        <v>220</v>
      </c>
      <c r="F1024" s="43">
        <f t="shared" ca="1" si="46"/>
        <v>165000</v>
      </c>
    </row>
    <row r="1025" spans="1:6" x14ac:dyDescent="0.25">
      <c r="A1025" s="46"/>
      <c r="B1025" s="46"/>
      <c r="C1025" s="46"/>
      <c r="D1025" s="46"/>
      <c r="E1025" s="44" t="s">
        <v>46</v>
      </c>
      <c r="F1025" s="45">
        <f ca="1">SUM(Table32[MONTO TOTAL ESTIMADO])</f>
        <v>1273820</v>
      </c>
    </row>
    <row r="1026" spans="1:6" ht="15.75" thickBot="1" x14ac:dyDescent="0.3">
      <c r="A1026" s="46"/>
      <c r="B1026" s="46"/>
      <c r="C1026" s="46"/>
      <c r="D1026" s="46"/>
      <c r="E1026" s="46"/>
      <c r="F1026" s="46"/>
    </row>
    <row r="1027" spans="1:6" ht="34.5" thickBot="1" x14ac:dyDescent="0.3">
      <c r="A1027" s="29" t="s">
        <v>18</v>
      </c>
      <c r="B1027" s="29" t="s">
        <v>19</v>
      </c>
      <c r="C1027" s="29" t="s">
        <v>20</v>
      </c>
      <c r="D1027" s="29" t="s">
        <v>21</v>
      </c>
      <c r="E1027" s="29" t="s">
        <v>22</v>
      </c>
      <c r="F1027" s="29" t="s">
        <v>23</v>
      </c>
    </row>
    <row r="1028" spans="1:6" ht="15.75" thickBot="1" x14ac:dyDescent="0.3">
      <c r="A1028" s="30" t="s">
        <v>100</v>
      </c>
      <c r="B1028" s="30" t="s">
        <v>101</v>
      </c>
      <c r="C1028" s="30" t="s">
        <v>26</v>
      </c>
      <c r="D1028" s="30" t="s">
        <v>27</v>
      </c>
      <c r="E1028" s="30" t="s">
        <v>28</v>
      </c>
      <c r="F1028" s="30" t="s">
        <v>17</v>
      </c>
    </row>
    <row r="1029" spans="1:6" ht="15.75" thickBot="1" x14ac:dyDescent="0.3">
      <c r="A1029" s="31" t="s">
        <v>29</v>
      </c>
      <c r="B1029" s="32" t="s">
        <v>30</v>
      </c>
      <c r="C1029" s="33">
        <v>46176</v>
      </c>
      <c r="D1029" s="31" t="s">
        <v>31</v>
      </c>
      <c r="E1029" s="34" t="s">
        <v>32</v>
      </c>
      <c r="F1029" s="35" t="s">
        <v>33</v>
      </c>
    </row>
    <row r="1030" spans="1:6" ht="15.75" thickBot="1" x14ac:dyDescent="0.3">
      <c r="A1030" s="36"/>
      <c r="B1030" s="32" t="s">
        <v>34</v>
      </c>
      <c r="C1030" s="37">
        <f>IF(C1029="","",IF(AND(MONTH(C1029)&gt;=1,MONTH(C1029)&lt;=3),1,IF(AND(MONTH(C1029)&gt;=4,MONTH(C1029)&lt;=6),2,IF(AND(MONTH(C1029)&gt;=7,MONTH(C1029)&lt;=9),3,4))))</f>
        <v>2</v>
      </c>
      <c r="D1030" s="36"/>
      <c r="E1030" s="34" t="s">
        <v>35</v>
      </c>
      <c r="F1030" s="35"/>
    </row>
    <row r="1031" spans="1:6" ht="15.75" thickBot="1" x14ac:dyDescent="0.3">
      <c r="A1031" s="36"/>
      <c r="B1031" s="32" t="s">
        <v>36</v>
      </c>
      <c r="C1031" s="33">
        <v>46179</v>
      </c>
      <c r="D1031" s="36"/>
      <c r="E1031" s="34" t="s">
        <v>37</v>
      </c>
      <c r="F1031" s="35"/>
    </row>
    <row r="1032" spans="1:6" ht="15.75" thickBot="1" x14ac:dyDescent="0.3">
      <c r="A1032" s="36"/>
      <c r="B1032" s="32" t="s">
        <v>34</v>
      </c>
      <c r="C1032" s="37">
        <f>IF(C1031="","",IF(AND(MONTH(C1031)&gt;=1,MONTH(C1031)&lt;=3),1,IF(AND(MONTH(C1031)&gt;=4,MONTH(C1031)&lt;=6),2,IF(AND(MONTH(C1031)&gt;=7,MONTH(C1031)&lt;=9),3,4))))</f>
        <v>2</v>
      </c>
      <c r="D1032" s="36"/>
      <c r="E1032" s="34" t="s">
        <v>38</v>
      </c>
      <c r="F1032" s="35"/>
    </row>
    <row r="1033" spans="1:6" ht="15.75" thickBot="1" x14ac:dyDescent="0.3">
      <c r="A1033" s="46"/>
      <c r="B1033" s="46"/>
      <c r="C1033" s="46"/>
      <c r="D1033" s="46"/>
      <c r="E1033" s="46"/>
      <c r="F1033" s="46"/>
    </row>
    <row r="1034" spans="1:6" ht="15.75" thickBot="1" x14ac:dyDescent="0.3">
      <c r="A1034" s="38" t="s">
        <v>39</v>
      </c>
      <c r="B1034" s="38" t="s">
        <v>40</v>
      </c>
      <c r="C1034" s="38" t="s">
        <v>41</v>
      </c>
      <c r="D1034" s="38" t="s">
        <v>42</v>
      </c>
      <c r="E1034" s="38" t="s">
        <v>43</v>
      </c>
      <c r="F1034" s="38" t="s">
        <v>44</v>
      </c>
    </row>
    <row r="1035" spans="1:6" ht="45" x14ac:dyDescent="0.25">
      <c r="A1035" s="39" t="s">
        <v>102</v>
      </c>
      <c r="B1035" s="40" t="str">
        <f t="shared" ref="B1035:B1042" ca="1" si="47">IFERROR(INDEX(UNSPSCDes,MATCH(INDIRECT(ADDRESS(ROW(),COLUMN()-1,4)),UNSPSCCode,0)),IF(INDIRECT(ADDRESS(ROW(),COLUMN()-1,4))="50112001","Carnes procesadas y preparadas fresco",""))</f>
        <v>Carnes procesadas y preparadas fresco</v>
      </c>
      <c r="C1035" s="41" t="str">
        <f>IFERROR(VLOOKUP("LB",'[1]Informacion '!P:Q,2,FALSE),"")</f>
        <v>Libra </v>
      </c>
      <c r="D1035" s="39">
        <v>1800</v>
      </c>
      <c r="E1035" s="42">
        <v>127.4</v>
      </c>
      <c r="F1035" s="43">
        <f t="shared" ref="F1035:F1042" ca="1" si="48">INDIRECT(ADDRESS(ROW(),COLUMN()-2,4))*INDIRECT(ADDRESS(ROW(),COLUMN()-1,4))</f>
        <v>229320</v>
      </c>
    </row>
    <row r="1036" spans="1:6" ht="45" x14ac:dyDescent="0.25">
      <c r="A1036" s="39" t="s">
        <v>102</v>
      </c>
      <c r="B1036" s="40" t="str">
        <f t="shared" ca="1" si="47"/>
        <v>Carnes procesadas y preparadas fresco</v>
      </c>
      <c r="C1036" s="41" t="str">
        <f>IFERROR(VLOOKUP("LB",'[1]Informacion '!P:Q,2,FALSE),"")</f>
        <v>Libra </v>
      </c>
      <c r="D1036" s="39">
        <v>1500</v>
      </c>
      <c r="E1036" s="42">
        <v>125</v>
      </c>
      <c r="F1036" s="43">
        <f t="shared" ca="1" si="48"/>
        <v>187500</v>
      </c>
    </row>
    <row r="1037" spans="1:6" ht="45" x14ac:dyDescent="0.25">
      <c r="A1037" s="39" t="s">
        <v>102</v>
      </c>
      <c r="B1037" s="40" t="str">
        <f t="shared" ca="1" si="47"/>
        <v>Carnes procesadas y preparadas fresco</v>
      </c>
      <c r="C1037" s="41" t="str">
        <f>IFERROR(VLOOKUP("PAQ",'[1]Informacion '!P:Q,2,FALSE),"")</f>
        <v>Paquete</v>
      </c>
      <c r="D1037" s="39">
        <v>300</v>
      </c>
      <c r="E1037" s="42">
        <v>400</v>
      </c>
      <c r="F1037" s="43">
        <f t="shared" ca="1" si="48"/>
        <v>120000</v>
      </c>
    </row>
    <row r="1038" spans="1:6" ht="45" x14ac:dyDescent="0.25">
      <c r="A1038" s="39" t="s">
        <v>102</v>
      </c>
      <c r="B1038" s="40" t="str">
        <f t="shared" ca="1" si="47"/>
        <v>Carnes procesadas y preparadas fresco</v>
      </c>
      <c r="C1038" s="41" t="str">
        <f>IFERROR(VLOOKUP("LB",'[1]Informacion '!P:Q,2,FALSE),"")</f>
        <v>Libra </v>
      </c>
      <c r="D1038" s="39">
        <v>450</v>
      </c>
      <c r="E1038" s="42">
        <v>135</v>
      </c>
      <c r="F1038" s="43">
        <f t="shared" ca="1" si="48"/>
        <v>60750</v>
      </c>
    </row>
    <row r="1039" spans="1:6" ht="45" x14ac:dyDescent="0.25">
      <c r="A1039" s="39" t="s">
        <v>102</v>
      </c>
      <c r="B1039" s="40" t="str">
        <f t="shared" ca="1" si="47"/>
        <v>Carnes procesadas y preparadas fresco</v>
      </c>
      <c r="C1039" s="41" t="str">
        <f>IFERROR(VLOOKUP("LB",'[1]Informacion '!P:Q,2,FALSE),"")</f>
        <v>Libra </v>
      </c>
      <c r="D1039" s="39">
        <v>450</v>
      </c>
      <c r="E1039" s="42">
        <v>75</v>
      </c>
      <c r="F1039" s="43">
        <f t="shared" ca="1" si="48"/>
        <v>33750</v>
      </c>
    </row>
    <row r="1040" spans="1:6" ht="45" x14ac:dyDescent="0.25">
      <c r="A1040" s="39" t="s">
        <v>102</v>
      </c>
      <c r="B1040" s="40" t="str">
        <f t="shared" ca="1" si="47"/>
        <v>Carnes procesadas y preparadas fresco</v>
      </c>
      <c r="C1040" s="41" t="str">
        <f>IFERROR(VLOOKUP("LB",'[1]Informacion '!P:Q,2,FALSE),"")</f>
        <v>Libra </v>
      </c>
      <c r="D1040" s="39">
        <v>900</v>
      </c>
      <c r="E1040" s="42">
        <v>100</v>
      </c>
      <c r="F1040" s="43">
        <f t="shared" ca="1" si="48"/>
        <v>90000</v>
      </c>
    </row>
    <row r="1041" spans="1:6" ht="45" x14ac:dyDescent="0.25">
      <c r="A1041" s="39" t="s">
        <v>102</v>
      </c>
      <c r="B1041" s="40" t="str">
        <f t="shared" ca="1" si="47"/>
        <v>Carnes procesadas y preparadas fresco</v>
      </c>
      <c r="C1041" s="41" t="str">
        <f>IFERROR(VLOOKUP("LB",'[1]Informacion '!P:Q,2,FALSE),"")</f>
        <v>Libra </v>
      </c>
      <c r="D1041" s="39">
        <v>750</v>
      </c>
      <c r="E1041" s="42">
        <v>220</v>
      </c>
      <c r="F1041" s="43">
        <f t="shared" ca="1" si="48"/>
        <v>165000</v>
      </c>
    </row>
    <row r="1042" spans="1:6" ht="45" x14ac:dyDescent="0.25">
      <c r="A1042" s="39" t="s">
        <v>102</v>
      </c>
      <c r="B1042" s="40" t="str">
        <f t="shared" ca="1" si="47"/>
        <v>Carnes procesadas y preparadas fresco</v>
      </c>
      <c r="C1042" s="41" t="str">
        <f>IFERROR(VLOOKUP("LB",'[1]Informacion '!P:Q,2,FALSE),"")</f>
        <v>Libra </v>
      </c>
      <c r="D1042" s="39">
        <v>2100</v>
      </c>
      <c r="E1042" s="42">
        <v>175</v>
      </c>
      <c r="F1042" s="43">
        <f t="shared" ca="1" si="48"/>
        <v>367500</v>
      </c>
    </row>
    <row r="1043" spans="1:6" x14ac:dyDescent="0.25">
      <c r="A1043" s="46"/>
      <c r="B1043" s="46"/>
      <c r="C1043" s="46"/>
      <c r="D1043" s="46"/>
      <c r="E1043" s="44" t="s">
        <v>46</v>
      </c>
      <c r="F1043" s="45">
        <f ca="1">SUM(Table33[MONTO TOTAL ESTIMADO])</f>
        <v>1253820</v>
      </c>
    </row>
    <row r="1044" spans="1:6" ht="15.75" thickBot="1" x14ac:dyDescent="0.3">
      <c r="A1044" s="46"/>
      <c r="B1044" s="46"/>
      <c r="C1044" s="46"/>
      <c r="D1044" s="46"/>
      <c r="E1044" s="46"/>
      <c r="F1044" s="46"/>
    </row>
    <row r="1045" spans="1:6" ht="34.5" thickBot="1" x14ac:dyDescent="0.3">
      <c r="A1045" s="29" t="s">
        <v>18</v>
      </c>
      <c r="B1045" s="29" t="s">
        <v>19</v>
      </c>
      <c r="C1045" s="29" t="s">
        <v>20</v>
      </c>
      <c r="D1045" s="29" t="s">
        <v>21</v>
      </c>
      <c r="E1045" s="29" t="s">
        <v>22</v>
      </c>
      <c r="F1045" s="29" t="s">
        <v>23</v>
      </c>
    </row>
    <row r="1046" spans="1:6" ht="15.75" thickBot="1" x14ac:dyDescent="0.3">
      <c r="A1046" s="30" t="s">
        <v>100</v>
      </c>
      <c r="B1046" s="30" t="s">
        <v>101</v>
      </c>
      <c r="C1046" s="30" t="s">
        <v>26</v>
      </c>
      <c r="D1046" s="30" t="s">
        <v>27</v>
      </c>
      <c r="E1046" s="30" t="s">
        <v>28</v>
      </c>
      <c r="F1046" s="30" t="s">
        <v>17</v>
      </c>
    </row>
    <row r="1047" spans="1:6" ht="15.75" thickBot="1" x14ac:dyDescent="0.3">
      <c r="A1047" s="31" t="s">
        <v>29</v>
      </c>
      <c r="B1047" s="32" t="s">
        <v>30</v>
      </c>
      <c r="C1047" s="33">
        <v>46267</v>
      </c>
      <c r="D1047" s="31" t="s">
        <v>31</v>
      </c>
      <c r="E1047" s="34" t="s">
        <v>32</v>
      </c>
      <c r="F1047" s="35" t="s">
        <v>33</v>
      </c>
    </row>
    <row r="1048" spans="1:6" ht="15.75" thickBot="1" x14ac:dyDescent="0.3">
      <c r="A1048" s="36"/>
      <c r="B1048" s="32" t="s">
        <v>34</v>
      </c>
      <c r="C1048" s="37">
        <f>IF(C1047="","",IF(AND(MONTH(C1047)&gt;=1,MONTH(C1047)&lt;=3),1,IF(AND(MONTH(C1047)&gt;=4,MONTH(C1047)&lt;=6),2,IF(AND(MONTH(C1047)&gt;=7,MONTH(C1047)&lt;=9),3,4))))</f>
        <v>3</v>
      </c>
      <c r="D1048" s="36"/>
      <c r="E1048" s="34" t="s">
        <v>35</v>
      </c>
      <c r="F1048" s="35"/>
    </row>
    <row r="1049" spans="1:6" ht="15.75" thickBot="1" x14ac:dyDescent="0.3">
      <c r="A1049" s="36"/>
      <c r="B1049" s="32" t="s">
        <v>36</v>
      </c>
      <c r="C1049" s="33">
        <v>46270</v>
      </c>
      <c r="D1049" s="36"/>
      <c r="E1049" s="34" t="s">
        <v>37</v>
      </c>
      <c r="F1049" s="35"/>
    </row>
    <row r="1050" spans="1:6" ht="15.75" thickBot="1" x14ac:dyDescent="0.3">
      <c r="A1050" s="36"/>
      <c r="B1050" s="32" t="s">
        <v>34</v>
      </c>
      <c r="C1050" s="37">
        <f>IF(C1049="","",IF(AND(MONTH(C1049)&gt;=1,MONTH(C1049)&lt;=3),1,IF(AND(MONTH(C1049)&gt;=4,MONTH(C1049)&lt;=6),2,IF(AND(MONTH(C1049)&gt;=7,MONTH(C1049)&lt;=9),3,4))))</f>
        <v>3</v>
      </c>
      <c r="D1050" s="36"/>
      <c r="E1050" s="34" t="s">
        <v>38</v>
      </c>
      <c r="F1050" s="35"/>
    </row>
    <row r="1051" spans="1:6" ht="15.75" thickBot="1" x14ac:dyDescent="0.3">
      <c r="A1051" s="46"/>
      <c r="B1051" s="46"/>
      <c r="C1051" s="46"/>
      <c r="D1051" s="46"/>
      <c r="E1051" s="46"/>
      <c r="F1051" s="46"/>
    </row>
    <row r="1052" spans="1:6" ht="15.75" thickBot="1" x14ac:dyDescent="0.3">
      <c r="A1052" s="38" t="s">
        <v>39</v>
      </c>
      <c r="B1052" s="38" t="s">
        <v>40</v>
      </c>
      <c r="C1052" s="38" t="s">
        <v>41</v>
      </c>
      <c r="D1052" s="38" t="s">
        <v>42</v>
      </c>
      <c r="E1052" s="38" t="s">
        <v>43</v>
      </c>
      <c r="F1052" s="38" t="s">
        <v>44</v>
      </c>
    </row>
    <row r="1053" spans="1:6" ht="45" x14ac:dyDescent="0.25">
      <c r="A1053" s="39" t="s">
        <v>102</v>
      </c>
      <c r="B1053" s="40" t="str">
        <f t="shared" ref="B1053:B1060" ca="1" si="49">IFERROR(INDEX(UNSPSCDes,MATCH(INDIRECT(ADDRESS(ROW(),COLUMN()-1,4)),UNSPSCCode,0)),IF(INDIRECT(ADDRESS(ROW(),COLUMN()-1,4))="50112001","Carnes procesadas y preparadas fresco",""))</f>
        <v>Carnes procesadas y preparadas fresco</v>
      </c>
      <c r="C1053" s="41" t="str">
        <f>IFERROR(VLOOKUP("LB",'[1]Informacion '!P:Q,2,FALSE),"")</f>
        <v>Libra </v>
      </c>
      <c r="D1053" s="39">
        <v>1800</v>
      </c>
      <c r="E1053" s="42">
        <v>127.4</v>
      </c>
      <c r="F1053" s="43">
        <f t="shared" ref="F1053:F1060" ca="1" si="50">INDIRECT(ADDRESS(ROW(),COLUMN()-2,4))*INDIRECT(ADDRESS(ROW(),COLUMN()-1,4))</f>
        <v>229320</v>
      </c>
    </row>
    <row r="1054" spans="1:6" ht="45" x14ac:dyDescent="0.25">
      <c r="A1054" s="39" t="s">
        <v>102</v>
      </c>
      <c r="B1054" s="40" t="str">
        <f t="shared" ca="1" si="49"/>
        <v>Carnes procesadas y preparadas fresco</v>
      </c>
      <c r="C1054" s="41" t="str">
        <f>IFERROR(VLOOKUP("LB",'[1]Informacion '!P:Q,2,FALSE),"")</f>
        <v>Libra </v>
      </c>
      <c r="D1054" s="39">
        <v>1500</v>
      </c>
      <c r="E1054" s="42">
        <v>125</v>
      </c>
      <c r="F1054" s="43">
        <f t="shared" ca="1" si="50"/>
        <v>187500</v>
      </c>
    </row>
    <row r="1055" spans="1:6" ht="45" x14ac:dyDescent="0.25">
      <c r="A1055" s="39" t="s">
        <v>102</v>
      </c>
      <c r="B1055" s="40" t="str">
        <f t="shared" ca="1" si="49"/>
        <v>Carnes procesadas y preparadas fresco</v>
      </c>
      <c r="C1055" s="41" t="str">
        <f>IFERROR(VLOOKUP("PAQ",'[1]Informacion '!P:Q,2,FALSE),"")</f>
        <v>Paquete</v>
      </c>
      <c r="D1055" s="39">
        <v>300</v>
      </c>
      <c r="E1055" s="42">
        <v>400</v>
      </c>
      <c r="F1055" s="43">
        <f t="shared" ca="1" si="50"/>
        <v>120000</v>
      </c>
    </row>
    <row r="1056" spans="1:6" ht="45" x14ac:dyDescent="0.25">
      <c r="A1056" s="39" t="s">
        <v>102</v>
      </c>
      <c r="B1056" s="40" t="str">
        <f t="shared" ca="1" si="49"/>
        <v>Carnes procesadas y preparadas fresco</v>
      </c>
      <c r="C1056" s="41" t="str">
        <f>IFERROR(VLOOKUP("LB",'[1]Informacion '!P:Q,2,FALSE),"")</f>
        <v>Libra </v>
      </c>
      <c r="D1056" s="39">
        <v>900</v>
      </c>
      <c r="E1056" s="42">
        <v>100</v>
      </c>
      <c r="F1056" s="43">
        <f t="shared" ca="1" si="50"/>
        <v>90000</v>
      </c>
    </row>
    <row r="1057" spans="1:6" ht="45" x14ac:dyDescent="0.25">
      <c r="A1057" s="39" t="s">
        <v>102</v>
      </c>
      <c r="B1057" s="40" t="str">
        <f t="shared" ca="1" si="49"/>
        <v>Carnes procesadas y preparadas fresco</v>
      </c>
      <c r="C1057" s="41" t="str">
        <f>IFERROR(VLOOKUP("LB",'[1]Informacion '!P:Q,2,FALSE),"")</f>
        <v>Libra </v>
      </c>
      <c r="D1057" s="39">
        <v>450</v>
      </c>
      <c r="E1057" s="42">
        <v>135</v>
      </c>
      <c r="F1057" s="43">
        <f t="shared" ca="1" si="50"/>
        <v>60750</v>
      </c>
    </row>
    <row r="1058" spans="1:6" ht="45" x14ac:dyDescent="0.25">
      <c r="A1058" s="39" t="s">
        <v>102</v>
      </c>
      <c r="B1058" s="40" t="str">
        <f t="shared" ca="1" si="49"/>
        <v>Carnes procesadas y preparadas fresco</v>
      </c>
      <c r="C1058" s="41" t="str">
        <f>IFERROR(VLOOKUP("LB",'[1]Informacion '!P:Q,2,FALSE),"")</f>
        <v>Libra </v>
      </c>
      <c r="D1058" s="39">
        <v>450</v>
      </c>
      <c r="E1058" s="42">
        <v>75</v>
      </c>
      <c r="F1058" s="43">
        <f t="shared" ca="1" si="50"/>
        <v>33750</v>
      </c>
    </row>
    <row r="1059" spans="1:6" ht="45" x14ac:dyDescent="0.25">
      <c r="A1059" s="39" t="s">
        <v>102</v>
      </c>
      <c r="B1059" s="40" t="str">
        <f t="shared" ca="1" si="49"/>
        <v>Carnes procesadas y preparadas fresco</v>
      </c>
      <c r="C1059" s="41" t="str">
        <f>IFERROR(VLOOKUP("LB",'[1]Informacion '!P:Q,2,FALSE),"")</f>
        <v>Libra </v>
      </c>
      <c r="D1059" s="39">
        <v>750</v>
      </c>
      <c r="E1059" s="42">
        <v>220</v>
      </c>
      <c r="F1059" s="43">
        <f t="shared" ca="1" si="50"/>
        <v>165000</v>
      </c>
    </row>
    <row r="1060" spans="1:6" ht="45" x14ac:dyDescent="0.25">
      <c r="A1060" s="39" t="s">
        <v>102</v>
      </c>
      <c r="B1060" s="40" t="str">
        <f t="shared" ca="1" si="49"/>
        <v>Carnes procesadas y preparadas fresco</v>
      </c>
      <c r="C1060" s="41" t="str">
        <f>IFERROR(VLOOKUP("LB",'[1]Informacion '!P:Q,2,FALSE),"")</f>
        <v>Libra </v>
      </c>
      <c r="D1060" s="39">
        <v>2100</v>
      </c>
      <c r="E1060" s="42">
        <v>175</v>
      </c>
      <c r="F1060" s="43">
        <f t="shared" ca="1" si="50"/>
        <v>367500</v>
      </c>
    </row>
    <row r="1061" spans="1:6" x14ac:dyDescent="0.25">
      <c r="A1061" s="46"/>
      <c r="B1061" s="46"/>
      <c r="C1061" s="46"/>
      <c r="D1061" s="46"/>
      <c r="E1061" s="44" t="s">
        <v>46</v>
      </c>
      <c r="F1061" s="45">
        <f ca="1">SUM(Table34[MONTO TOTAL ESTIMADO])</f>
        <v>1253820</v>
      </c>
    </row>
    <row r="1062" spans="1:6" ht="15.75" thickBot="1" x14ac:dyDescent="0.3">
      <c r="A1062" s="46"/>
      <c r="B1062" s="46"/>
      <c r="C1062" s="46"/>
      <c r="D1062" s="46"/>
      <c r="E1062" s="46"/>
      <c r="F1062" s="46"/>
    </row>
    <row r="1063" spans="1:6" ht="34.5" thickBot="1" x14ac:dyDescent="0.3">
      <c r="A1063" s="29" t="s">
        <v>18</v>
      </c>
      <c r="B1063" s="29" t="s">
        <v>19</v>
      </c>
      <c r="C1063" s="29" t="s">
        <v>20</v>
      </c>
      <c r="D1063" s="29" t="s">
        <v>21</v>
      </c>
      <c r="E1063" s="29" t="s">
        <v>22</v>
      </c>
      <c r="F1063" s="29" t="s">
        <v>23</v>
      </c>
    </row>
    <row r="1064" spans="1:6" ht="15.75" thickBot="1" x14ac:dyDescent="0.3">
      <c r="A1064" s="30" t="s">
        <v>103</v>
      </c>
      <c r="B1064" s="30" t="s">
        <v>101</v>
      </c>
      <c r="C1064" s="30" t="s">
        <v>26</v>
      </c>
      <c r="D1064" s="30" t="s">
        <v>27</v>
      </c>
      <c r="E1064" s="30" t="s">
        <v>28</v>
      </c>
      <c r="F1064" s="30"/>
    </row>
    <row r="1065" spans="1:6" ht="15.75" thickBot="1" x14ac:dyDescent="0.3">
      <c r="A1065" s="31" t="s">
        <v>29</v>
      </c>
      <c r="B1065" s="32" t="s">
        <v>30</v>
      </c>
      <c r="C1065" s="33">
        <v>46239</v>
      </c>
      <c r="D1065" s="31" t="s">
        <v>31</v>
      </c>
      <c r="E1065" s="34" t="s">
        <v>32</v>
      </c>
      <c r="F1065" s="35" t="s">
        <v>33</v>
      </c>
    </row>
    <row r="1066" spans="1:6" ht="15.75" thickBot="1" x14ac:dyDescent="0.3">
      <c r="A1066" s="36"/>
      <c r="B1066" s="32" t="s">
        <v>34</v>
      </c>
      <c r="C1066" s="37">
        <f>IF(C1065="","",IF(AND(MONTH(C1065)&gt;=1,MONTH(C1065)&lt;=3),1,IF(AND(MONTH(C1065)&gt;=4,MONTH(C1065)&lt;=6),2,IF(AND(MONTH(C1065)&gt;=7,MONTH(C1065)&lt;=9),3,4))))</f>
        <v>3</v>
      </c>
      <c r="D1066" s="36"/>
      <c r="E1066" s="34" t="s">
        <v>35</v>
      </c>
      <c r="F1066" s="35"/>
    </row>
    <row r="1067" spans="1:6" ht="15.75" thickBot="1" x14ac:dyDescent="0.3">
      <c r="A1067" s="36"/>
      <c r="B1067" s="32" t="s">
        <v>36</v>
      </c>
      <c r="C1067" s="33">
        <v>46242</v>
      </c>
      <c r="D1067" s="36"/>
      <c r="E1067" s="34" t="s">
        <v>37</v>
      </c>
      <c r="F1067" s="35"/>
    </row>
    <row r="1068" spans="1:6" ht="15.75" thickBot="1" x14ac:dyDescent="0.3">
      <c r="A1068" s="36"/>
      <c r="B1068" s="32" t="s">
        <v>34</v>
      </c>
      <c r="C1068" s="37">
        <f>IF(C1067="","",IF(AND(MONTH(C1067)&gt;=1,MONTH(C1067)&lt;=3),1,IF(AND(MONTH(C1067)&gt;=4,MONTH(C1067)&lt;=6),2,IF(AND(MONTH(C1067)&gt;=7,MONTH(C1067)&lt;=9),3,4))))</f>
        <v>3</v>
      </c>
      <c r="D1068" s="36"/>
      <c r="E1068" s="34" t="s">
        <v>38</v>
      </c>
      <c r="F1068" s="35"/>
    </row>
    <row r="1069" spans="1:6" ht="15.75" thickBot="1" x14ac:dyDescent="0.3">
      <c r="A1069" s="46"/>
      <c r="B1069" s="46"/>
      <c r="C1069" s="46"/>
      <c r="D1069" s="46"/>
      <c r="E1069" s="46"/>
      <c r="F1069" s="46"/>
    </row>
    <row r="1070" spans="1:6" ht="15.75" thickBot="1" x14ac:dyDescent="0.3">
      <c r="A1070" s="38" t="s">
        <v>39</v>
      </c>
      <c r="B1070" s="38" t="s">
        <v>40</v>
      </c>
      <c r="C1070" s="38" t="s">
        <v>41</v>
      </c>
      <c r="D1070" s="38" t="s">
        <v>42</v>
      </c>
      <c r="E1070" s="38" t="s">
        <v>43</v>
      </c>
      <c r="F1070" s="38" t="s">
        <v>44</v>
      </c>
    </row>
    <row r="1071" spans="1:6" x14ac:dyDescent="0.25">
      <c r="A1071" s="39" t="s">
        <v>104</v>
      </c>
      <c r="B1071" s="40" t="str">
        <f ca="1">IFERROR(INDEX(UNSPSCDes,MATCH(INDIRECT(ADDRESS(ROW(),COLUMN()-1,4)),UNSPSCCode,0)),IF(INDIRECT(ADDRESS(ROW(),COLUMN()-1,4))="47131807","Blanqueadores",""))</f>
        <v>Blanqueadores</v>
      </c>
      <c r="C1071" s="41" t="str">
        <f>IFERROR(VLOOKUP("GAL",'[1]Informacion '!P:Q,2,FALSE),"")</f>
        <v>Galón</v>
      </c>
      <c r="D1071" s="39">
        <v>1000</v>
      </c>
      <c r="E1071" s="42">
        <v>158</v>
      </c>
      <c r="F1071" s="43">
        <f t="shared" ref="F1071:F1078" ca="1" si="51">INDIRECT(ADDRESS(ROW(),COLUMN()-2,4))*INDIRECT(ADDRESS(ROW(),COLUMN()-1,4))</f>
        <v>158000</v>
      </c>
    </row>
    <row r="1072" spans="1:6" x14ac:dyDescent="0.25">
      <c r="A1072" s="39" t="s">
        <v>104</v>
      </c>
      <c r="B1072" s="40" t="str">
        <f ca="1">IFERROR(INDEX(UNSPSCDes,MATCH(INDIRECT(ADDRESS(ROW(),COLUMN()-1,4)),UNSPSCCode,0)),IF(INDIRECT(ADDRESS(ROW(),COLUMN()-1,4))="47131807","Blanqueadores",""))</f>
        <v>Blanqueadores</v>
      </c>
      <c r="C1072" s="41" t="str">
        <f>IFERROR(VLOOKUP("GAL",'[1]Informacion '!P:Q,2,FALSE),"")</f>
        <v>Galón</v>
      </c>
      <c r="D1072" s="39">
        <v>700</v>
      </c>
      <c r="E1072" s="42">
        <v>200</v>
      </c>
      <c r="F1072" s="43">
        <f t="shared" ca="1" si="51"/>
        <v>140000</v>
      </c>
    </row>
    <row r="1073" spans="1:6" ht="33.75" x14ac:dyDescent="0.25">
      <c r="A1073" s="39" t="s">
        <v>105</v>
      </c>
      <c r="B1073" s="40" t="str">
        <f ca="1">IFERROR(INDEX(UNSPSCDes,MATCH(INDIRECT(ADDRESS(ROW(),COLUMN()-1,4)),UNSPSCCode,0)),IF(INDIRECT(ADDRESS(ROW(),COLUMN()-1,4))="47131803","Desinfectantes para uso doméstico",""))</f>
        <v>Desinfectantes para uso doméstico</v>
      </c>
      <c r="C1073" s="41" t="str">
        <f>IFERROR(VLOOKUP("GAL",'[1]Informacion '!P:Q,2,FALSE),"")</f>
        <v>Galón</v>
      </c>
      <c r="D1073" s="39">
        <v>1200</v>
      </c>
      <c r="E1073" s="42">
        <v>198</v>
      </c>
      <c r="F1073" s="43">
        <f t="shared" ca="1" si="51"/>
        <v>237600</v>
      </c>
    </row>
    <row r="1074" spans="1:6" ht="23.25" customHeight="1" x14ac:dyDescent="0.25">
      <c r="A1074" s="39" t="s">
        <v>106</v>
      </c>
      <c r="B1074" s="40" t="str">
        <f ca="1">IFERROR(INDEX(UNSPSCDes,MATCH(INDIRECT(ADDRESS(ROW(),COLUMN()-1,4)),UNSPSCCode,0)),IF(INDIRECT(ADDRESS(ROW(),COLUMN()-1,4))="53131608","Jabones",""))</f>
        <v>Jabones</v>
      </c>
      <c r="C1074" s="41" t="str">
        <f>IFERROR(VLOOKUP("GAL",'[1]Informacion '!P:Q,2,FALSE),"")</f>
        <v>Galón</v>
      </c>
      <c r="D1074" s="39">
        <v>400</v>
      </c>
      <c r="E1074" s="42">
        <v>290</v>
      </c>
      <c r="F1074" s="43">
        <f t="shared" ca="1" si="51"/>
        <v>116000</v>
      </c>
    </row>
    <row r="1075" spans="1:6" ht="21.75" customHeight="1" x14ac:dyDescent="0.25">
      <c r="A1075" s="39" t="s">
        <v>106</v>
      </c>
      <c r="B1075" s="40" t="str">
        <f ca="1">IFERROR(INDEX(UNSPSCDes,MATCH(INDIRECT(ADDRESS(ROW(),COLUMN()-1,4)),UNSPSCCode,0)),IF(INDIRECT(ADDRESS(ROW(),COLUMN()-1,4))="53131608","Jabones",""))</f>
        <v>Jabones</v>
      </c>
      <c r="C1075" s="41" t="str">
        <f>IFERROR(VLOOKUP("UD",'[1]Informacion '!P:Q,2,FALSE),"")</f>
        <v>Unidad</v>
      </c>
      <c r="D1075" s="39">
        <v>6</v>
      </c>
      <c r="E1075" s="42">
        <v>3720</v>
      </c>
      <c r="F1075" s="43">
        <f t="shared" ca="1" si="51"/>
        <v>22320</v>
      </c>
    </row>
    <row r="1076" spans="1:6" ht="21.75" customHeight="1" x14ac:dyDescent="0.25">
      <c r="A1076" s="39" t="s">
        <v>106</v>
      </c>
      <c r="B1076" s="40" t="str">
        <f ca="1">IFERROR(INDEX(UNSPSCDes,MATCH(INDIRECT(ADDRESS(ROW(),COLUMN()-1,4)),UNSPSCCode,0)),IF(INDIRECT(ADDRESS(ROW(),COLUMN()-1,4))="53131608","Jabones",""))</f>
        <v>Jabones</v>
      </c>
      <c r="C1076" s="41" t="str">
        <f>IFERROR(VLOOKUP("UD",'[1]Informacion '!P:Q,2,FALSE),"")</f>
        <v>Unidad</v>
      </c>
      <c r="D1076" s="39">
        <v>200</v>
      </c>
      <c r="E1076" s="42">
        <v>277</v>
      </c>
      <c r="F1076" s="43">
        <f t="shared" ca="1" si="51"/>
        <v>55400</v>
      </c>
    </row>
    <row r="1077" spans="1:6" ht="25.5" customHeight="1" x14ac:dyDescent="0.25">
      <c r="A1077" s="39" t="s">
        <v>107</v>
      </c>
      <c r="B1077" s="40" t="str">
        <f ca="1">IFERROR(INDEX(UNSPSCDes,MATCH(INDIRECT(ADDRESS(ROW(),COLUMN()-1,4)),UNSPSCCode,0)),IF(INDIRECT(ADDRESS(ROW(),COLUMN()-1,4))="42281704","Limpiadores o detergentes para instrumentos",""))</f>
        <v>Limpiadores o detergentes para instrumentos</v>
      </c>
      <c r="C1077" s="41" t="str">
        <f>IFERROR(VLOOKUP("UD",'[1]Informacion '!P:Q,2,FALSE),"")</f>
        <v>Unidad</v>
      </c>
      <c r="D1077" s="39">
        <v>400</v>
      </c>
      <c r="E1077" s="42">
        <v>368</v>
      </c>
      <c r="F1077" s="43">
        <f t="shared" ca="1" si="51"/>
        <v>147200</v>
      </c>
    </row>
    <row r="1078" spans="1:6" ht="22.5" customHeight="1" x14ac:dyDescent="0.25">
      <c r="A1078" s="39" t="s">
        <v>107</v>
      </c>
      <c r="B1078" s="40" t="str">
        <f ca="1">IFERROR(INDEX(UNSPSCDes,MATCH(INDIRECT(ADDRESS(ROW(),COLUMN()-1,4)),UNSPSCCode,0)),IF(INDIRECT(ADDRESS(ROW(),COLUMN()-1,4))="42281704","Limpiadores o detergentes para instrumentos",""))</f>
        <v>Limpiadores o detergentes para instrumentos</v>
      </c>
      <c r="C1078" s="41" t="str">
        <f>IFERROR(VLOOKUP("UD",'[1]Informacion '!P:Q,2,FALSE),"")</f>
        <v>Unidad</v>
      </c>
      <c r="D1078" s="39">
        <v>100</v>
      </c>
      <c r="E1078" s="42">
        <v>1768</v>
      </c>
      <c r="F1078" s="43">
        <f t="shared" ca="1" si="51"/>
        <v>176800</v>
      </c>
    </row>
    <row r="1079" spans="1:6" x14ac:dyDescent="0.25">
      <c r="A1079" s="46"/>
      <c r="B1079" s="46"/>
      <c r="C1079" s="46"/>
      <c r="D1079" s="46"/>
      <c r="E1079" s="44" t="s">
        <v>46</v>
      </c>
      <c r="F1079" s="45">
        <f ca="1">SUM(Table35[MONTO TOTAL ESTIMADO])</f>
        <v>1053320</v>
      </c>
    </row>
    <row r="1080" spans="1:6" ht="15.75" thickBot="1" x14ac:dyDescent="0.3">
      <c r="A1080" s="46"/>
      <c r="B1080" s="46"/>
      <c r="C1080" s="46"/>
      <c r="D1080" s="46"/>
      <c r="E1080" s="46"/>
      <c r="F1080" s="46"/>
    </row>
    <row r="1081" spans="1:6" ht="34.5" thickBot="1" x14ac:dyDescent="0.3">
      <c r="A1081" s="29" t="s">
        <v>18</v>
      </c>
      <c r="B1081" s="29" t="s">
        <v>19</v>
      </c>
      <c r="C1081" s="29" t="s">
        <v>20</v>
      </c>
      <c r="D1081" s="29" t="s">
        <v>21</v>
      </c>
      <c r="E1081" s="29" t="s">
        <v>22</v>
      </c>
      <c r="F1081" s="29" t="s">
        <v>23</v>
      </c>
    </row>
    <row r="1082" spans="1:6" ht="15.75" thickBot="1" x14ac:dyDescent="0.3">
      <c r="A1082" s="30" t="s">
        <v>103</v>
      </c>
      <c r="B1082" s="30" t="s">
        <v>108</v>
      </c>
      <c r="C1082" s="30" t="s">
        <v>26</v>
      </c>
      <c r="D1082" s="30" t="s">
        <v>27</v>
      </c>
      <c r="E1082" s="30" t="s">
        <v>76</v>
      </c>
      <c r="F1082" s="30" t="s">
        <v>17</v>
      </c>
    </row>
    <row r="1083" spans="1:6" ht="15.75" thickBot="1" x14ac:dyDescent="0.3">
      <c r="A1083" s="31" t="s">
        <v>29</v>
      </c>
      <c r="B1083" s="32" t="s">
        <v>30</v>
      </c>
      <c r="C1083" s="33">
        <v>46176</v>
      </c>
      <c r="D1083" s="31" t="s">
        <v>31</v>
      </c>
      <c r="E1083" s="34" t="s">
        <v>32</v>
      </c>
      <c r="F1083" s="35" t="s">
        <v>33</v>
      </c>
    </row>
    <row r="1084" spans="1:6" ht="15.75" thickBot="1" x14ac:dyDescent="0.3">
      <c r="A1084" s="36"/>
      <c r="B1084" s="32" t="s">
        <v>34</v>
      </c>
      <c r="C1084" s="37">
        <f>IF(C1083="","",IF(AND(MONTH(C1083)&gt;=1,MONTH(C1083)&lt;=3),1,IF(AND(MONTH(C1083)&gt;=4,MONTH(C1083)&lt;=6),2,IF(AND(MONTH(C1083)&gt;=7,MONTH(C1083)&lt;=9),3,4))))</f>
        <v>2</v>
      </c>
      <c r="D1084" s="36"/>
      <c r="E1084" s="34" t="s">
        <v>35</v>
      </c>
      <c r="F1084" s="35"/>
    </row>
    <row r="1085" spans="1:6" ht="15.75" thickBot="1" x14ac:dyDescent="0.3">
      <c r="A1085" s="36"/>
      <c r="B1085" s="32" t="s">
        <v>36</v>
      </c>
      <c r="C1085" s="33">
        <v>46179</v>
      </c>
      <c r="D1085" s="36"/>
      <c r="E1085" s="34" t="s">
        <v>37</v>
      </c>
      <c r="F1085" s="35"/>
    </row>
    <row r="1086" spans="1:6" ht="15.75" thickBot="1" x14ac:dyDescent="0.3">
      <c r="A1086" s="36"/>
      <c r="B1086" s="32" t="s">
        <v>34</v>
      </c>
      <c r="C1086" s="37">
        <f>IF(C1085="","",IF(AND(MONTH(C1085)&gt;=1,MONTH(C1085)&lt;=3),1,IF(AND(MONTH(C1085)&gt;=4,MONTH(C1085)&lt;=6),2,IF(AND(MONTH(C1085)&gt;=7,MONTH(C1085)&lt;=9),3,4))))</f>
        <v>2</v>
      </c>
      <c r="D1086" s="36"/>
      <c r="E1086" s="34" t="s">
        <v>38</v>
      </c>
      <c r="F1086" s="35"/>
    </row>
    <row r="1087" spans="1:6" ht="15.75" thickBot="1" x14ac:dyDescent="0.3">
      <c r="A1087" s="46"/>
      <c r="B1087" s="46"/>
      <c r="C1087" s="46"/>
      <c r="D1087" s="46"/>
      <c r="E1087" s="46"/>
      <c r="F1087" s="46"/>
    </row>
    <row r="1088" spans="1:6" ht="15.75" thickBot="1" x14ac:dyDescent="0.3">
      <c r="A1088" s="38" t="s">
        <v>39</v>
      </c>
      <c r="B1088" s="38" t="s">
        <v>40</v>
      </c>
      <c r="C1088" s="38" t="s">
        <v>41</v>
      </c>
      <c r="D1088" s="38" t="s">
        <v>42</v>
      </c>
      <c r="E1088" s="38" t="s">
        <v>43</v>
      </c>
      <c r="F1088" s="38" t="s">
        <v>44</v>
      </c>
    </row>
    <row r="1089" spans="1:6" x14ac:dyDescent="0.25">
      <c r="A1089" s="39" t="s">
        <v>104</v>
      </c>
      <c r="B1089" s="40" t="str">
        <f ca="1">IFERROR(INDEX(UNSPSCDes,MATCH(INDIRECT(ADDRESS(ROW(),COLUMN()-1,4)),UNSPSCCode,0)),IF(INDIRECT(ADDRESS(ROW(),COLUMN()-1,4))="47131807","Blanqueadores",""))</f>
        <v>Blanqueadores</v>
      </c>
      <c r="C1089" s="41" t="str">
        <f>IFERROR(VLOOKUP("GAL",'[1]Informacion '!P:Q,2,FALSE),"")</f>
        <v>Galón</v>
      </c>
      <c r="D1089" s="39">
        <v>100</v>
      </c>
      <c r="E1089" s="42">
        <v>158</v>
      </c>
      <c r="F1089" s="43">
        <f t="shared" ref="F1089:F1096" ca="1" si="52">INDIRECT(ADDRESS(ROW(),COLUMN()-2,4))*INDIRECT(ADDRESS(ROW(),COLUMN()-1,4))</f>
        <v>15800</v>
      </c>
    </row>
    <row r="1090" spans="1:6" x14ac:dyDescent="0.25">
      <c r="A1090" s="39" t="s">
        <v>104</v>
      </c>
      <c r="B1090" s="40" t="str">
        <f ca="1">IFERROR(INDEX(UNSPSCDes,MATCH(INDIRECT(ADDRESS(ROW(),COLUMN()-1,4)),UNSPSCCode,0)),IF(INDIRECT(ADDRESS(ROW(),COLUMN()-1,4))="47131807","Blanqueadores",""))</f>
        <v>Blanqueadores</v>
      </c>
      <c r="C1090" s="41" t="str">
        <f>IFERROR(VLOOKUP("GAL",'[1]Informacion '!P:Q,2,FALSE),"")</f>
        <v>Galón</v>
      </c>
      <c r="D1090" s="39">
        <v>700</v>
      </c>
      <c r="E1090" s="42">
        <v>200</v>
      </c>
      <c r="F1090" s="43">
        <f t="shared" ca="1" si="52"/>
        <v>140000</v>
      </c>
    </row>
    <row r="1091" spans="1:6" ht="33.75" x14ac:dyDescent="0.25">
      <c r="A1091" s="39" t="s">
        <v>105</v>
      </c>
      <c r="B1091" s="40" t="str">
        <f ca="1">IFERROR(INDEX(UNSPSCDes,MATCH(INDIRECT(ADDRESS(ROW(),COLUMN()-1,4)),UNSPSCCode,0)),IF(INDIRECT(ADDRESS(ROW(),COLUMN()-1,4))="47131803","Desinfectantes para uso doméstico",""))</f>
        <v>Desinfectantes para uso doméstico</v>
      </c>
      <c r="C1091" s="41" t="str">
        <f>IFERROR(VLOOKUP("GAL",'[1]Informacion '!P:Q,2,FALSE),"")</f>
        <v>Galón</v>
      </c>
      <c r="D1091" s="39">
        <v>1200</v>
      </c>
      <c r="E1091" s="42">
        <v>198</v>
      </c>
      <c r="F1091" s="43">
        <f t="shared" ca="1" si="52"/>
        <v>237600</v>
      </c>
    </row>
    <row r="1092" spans="1:6" x14ac:dyDescent="0.25">
      <c r="A1092" s="39" t="s">
        <v>106</v>
      </c>
      <c r="B1092" s="40" t="str">
        <f ca="1">IFERROR(INDEX(UNSPSCDes,MATCH(INDIRECT(ADDRESS(ROW(),COLUMN()-1,4)),UNSPSCCode,0)),IF(INDIRECT(ADDRESS(ROW(),COLUMN()-1,4))="53131608","Jabones",""))</f>
        <v>Jabones</v>
      </c>
      <c r="C1092" s="41" t="str">
        <f>IFERROR(VLOOKUP("GAL",'[1]Informacion '!P:Q,2,FALSE),"")</f>
        <v>Galón</v>
      </c>
      <c r="D1092" s="39">
        <v>400</v>
      </c>
      <c r="E1092" s="42">
        <v>290</v>
      </c>
      <c r="F1092" s="43">
        <f t="shared" ca="1" si="52"/>
        <v>116000</v>
      </c>
    </row>
    <row r="1093" spans="1:6" x14ac:dyDescent="0.25">
      <c r="A1093" s="39" t="s">
        <v>106</v>
      </c>
      <c r="B1093" s="40" t="str">
        <f ca="1">IFERROR(INDEX(UNSPSCDes,MATCH(INDIRECT(ADDRESS(ROW(),COLUMN()-1,4)),UNSPSCCode,0)),IF(INDIRECT(ADDRESS(ROW(),COLUMN()-1,4))="53131608","Jabones",""))</f>
        <v>Jabones</v>
      </c>
      <c r="C1093" s="41" t="str">
        <f>IFERROR(VLOOKUP("UD",'[1]Informacion '!P:Q,2,FALSE),"")</f>
        <v>Unidad</v>
      </c>
      <c r="D1093" s="39">
        <v>6</v>
      </c>
      <c r="E1093" s="42">
        <v>3720</v>
      </c>
      <c r="F1093" s="43">
        <f t="shared" ca="1" si="52"/>
        <v>22320</v>
      </c>
    </row>
    <row r="1094" spans="1:6" x14ac:dyDescent="0.25">
      <c r="A1094" s="39" t="s">
        <v>106</v>
      </c>
      <c r="B1094" s="40" t="str">
        <f ca="1">IFERROR(INDEX(UNSPSCDes,MATCH(INDIRECT(ADDRESS(ROW(),COLUMN()-1,4)),UNSPSCCode,0)),IF(INDIRECT(ADDRESS(ROW(),COLUMN()-1,4))="53131608","Jabones",""))</f>
        <v>Jabones</v>
      </c>
      <c r="C1094" s="41" t="str">
        <f>IFERROR(VLOOKUP("UD",'[1]Informacion '!P:Q,2,FALSE),"")</f>
        <v>Unidad</v>
      </c>
      <c r="D1094" s="39">
        <v>200</v>
      </c>
      <c r="E1094" s="42">
        <v>277</v>
      </c>
      <c r="F1094" s="43">
        <f t="shared" ca="1" si="52"/>
        <v>55400</v>
      </c>
    </row>
    <row r="1095" spans="1:6" ht="33.75" x14ac:dyDescent="0.25">
      <c r="A1095" s="39" t="s">
        <v>107</v>
      </c>
      <c r="B1095" s="40" t="str">
        <f ca="1">IFERROR(INDEX(UNSPSCDes,MATCH(INDIRECT(ADDRESS(ROW(),COLUMN()-1,4)),UNSPSCCode,0)),IF(INDIRECT(ADDRESS(ROW(),COLUMN()-1,4))="42281704","Limpiadores o detergentes para instrumentos",""))</f>
        <v>Limpiadores o detergentes para instrumentos</v>
      </c>
      <c r="C1095" s="41" t="str">
        <f>IFERROR(VLOOKUP("GAL",'[1]Informacion '!P:Q,2,FALSE),"")</f>
        <v>Galón</v>
      </c>
      <c r="D1095" s="39">
        <v>400</v>
      </c>
      <c r="E1095" s="42">
        <v>368</v>
      </c>
      <c r="F1095" s="43">
        <f t="shared" ca="1" si="52"/>
        <v>147200</v>
      </c>
    </row>
    <row r="1096" spans="1:6" ht="33.75" x14ac:dyDescent="0.25">
      <c r="A1096" s="39" t="s">
        <v>107</v>
      </c>
      <c r="B1096" s="40" t="str">
        <f ca="1">IFERROR(INDEX(UNSPSCDes,MATCH(INDIRECT(ADDRESS(ROW(),COLUMN()-1,4)),UNSPSCCode,0)),IF(INDIRECT(ADDRESS(ROW(),COLUMN()-1,4))="42281704","Limpiadores o detergentes para instrumentos",""))</f>
        <v>Limpiadores o detergentes para instrumentos</v>
      </c>
      <c r="C1096" s="41" t="str">
        <f>IFERROR(VLOOKUP("UD",'[1]Informacion '!P:Q,2,FALSE),"")</f>
        <v>Unidad</v>
      </c>
      <c r="D1096" s="39">
        <v>100</v>
      </c>
      <c r="E1096" s="42">
        <v>1768</v>
      </c>
      <c r="F1096" s="43">
        <f t="shared" ca="1" si="52"/>
        <v>176800</v>
      </c>
    </row>
    <row r="1097" spans="1:6" x14ac:dyDescent="0.25">
      <c r="A1097" s="46"/>
      <c r="B1097" s="46"/>
      <c r="C1097" s="46"/>
      <c r="D1097" s="46"/>
      <c r="E1097" s="44" t="s">
        <v>46</v>
      </c>
      <c r="F1097" s="45">
        <f ca="1">SUM(Table36[MONTO TOTAL ESTIMADO])</f>
        <v>911120</v>
      </c>
    </row>
    <row r="1098" spans="1:6" ht="15.75" thickBot="1" x14ac:dyDescent="0.3">
      <c r="A1098" s="46"/>
      <c r="B1098" s="46"/>
      <c r="C1098" s="46"/>
      <c r="D1098" s="46"/>
      <c r="E1098" s="46"/>
      <c r="F1098" s="46"/>
    </row>
    <row r="1099" spans="1:6" ht="34.5" thickBot="1" x14ac:dyDescent="0.3">
      <c r="A1099" s="29" t="s">
        <v>18</v>
      </c>
      <c r="B1099" s="29" t="s">
        <v>19</v>
      </c>
      <c r="C1099" s="29" t="s">
        <v>20</v>
      </c>
      <c r="D1099" s="29" t="s">
        <v>21</v>
      </c>
      <c r="E1099" s="29" t="s">
        <v>22</v>
      </c>
      <c r="F1099" s="29" t="s">
        <v>23</v>
      </c>
    </row>
    <row r="1100" spans="1:6" ht="15.75" thickBot="1" x14ac:dyDescent="0.3">
      <c r="A1100" s="30" t="s">
        <v>109</v>
      </c>
      <c r="B1100" s="30" t="s">
        <v>101</v>
      </c>
      <c r="C1100" s="30" t="s">
        <v>26</v>
      </c>
      <c r="D1100" s="30" t="s">
        <v>27</v>
      </c>
      <c r="E1100" s="30" t="s">
        <v>28</v>
      </c>
      <c r="F1100" s="30"/>
    </row>
    <row r="1101" spans="1:6" ht="15.75" thickBot="1" x14ac:dyDescent="0.3">
      <c r="A1101" s="31" t="s">
        <v>29</v>
      </c>
      <c r="B1101" s="32" t="s">
        <v>30</v>
      </c>
      <c r="C1101" s="33">
        <v>45846</v>
      </c>
      <c r="D1101" s="31" t="s">
        <v>31</v>
      </c>
      <c r="E1101" s="34" t="s">
        <v>32</v>
      </c>
      <c r="F1101" s="35" t="s">
        <v>33</v>
      </c>
    </row>
    <row r="1102" spans="1:6" ht="15.75" thickBot="1" x14ac:dyDescent="0.3">
      <c r="A1102" s="36"/>
      <c r="B1102" s="32" t="s">
        <v>34</v>
      </c>
      <c r="C1102" s="37">
        <f>IF(C1101="","",IF(AND(MONTH(C1101)&gt;=1,MONTH(C1101)&lt;=3),1,IF(AND(MONTH(C1101)&gt;=4,MONTH(C1101)&lt;=6),2,IF(AND(MONTH(C1101)&gt;=7,MONTH(C1101)&lt;=9),3,4))))</f>
        <v>3</v>
      </c>
      <c r="D1102" s="36"/>
      <c r="E1102" s="34" t="s">
        <v>35</v>
      </c>
      <c r="F1102" s="35"/>
    </row>
    <row r="1103" spans="1:6" ht="15.75" thickBot="1" x14ac:dyDescent="0.3">
      <c r="A1103" s="36"/>
      <c r="B1103" s="32" t="s">
        <v>36</v>
      </c>
      <c r="C1103" s="33">
        <v>45876</v>
      </c>
      <c r="D1103" s="36"/>
      <c r="E1103" s="34" t="s">
        <v>37</v>
      </c>
      <c r="F1103" s="35"/>
    </row>
    <row r="1104" spans="1:6" ht="15.75" thickBot="1" x14ac:dyDescent="0.3">
      <c r="A1104" s="36"/>
      <c r="B1104" s="32" t="s">
        <v>34</v>
      </c>
      <c r="C1104" s="37">
        <f>IF(C1103="","",IF(AND(MONTH(C1103)&gt;=1,MONTH(C1103)&lt;=3),1,IF(AND(MONTH(C1103)&gt;=4,MONTH(C1103)&lt;=6),2,IF(AND(MONTH(C1103)&gt;=7,MONTH(C1103)&lt;=9),3,4))))</f>
        <v>3</v>
      </c>
      <c r="D1104" s="36"/>
      <c r="E1104" s="34" t="s">
        <v>38</v>
      </c>
      <c r="F1104" s="35"/>
    </row>
    <row r="1105" spans="1:6" ht="15.75" thickBot="1" x14ac:dyDescent="0.3">
      <c r="A1105" s="46"/>
      <c r="B1105" s="46"/>
      <c r="C1105" s="46"/>
      <c r="D1105" s="46"/>
      <c r="E1105" s="46"/>
      <c r="F1105" s="46"/>
    </row>
    <row r="1106" spans="1:6" ht="15.75" thickBot="1" x14ac:dyDescent="0.3">
      <c r="A1106" s="38" t="s">
        <v>39</v>
      </c>
      <c r="B1106" s="38" t="s">
        <v>40</v>
      </c>
      <c r="C1106" s="38" t="s">
        <v>41</v>
      </c>
      <c r="D1106" s="38" t="s">
        <v>42</v>
      </c>
      <c r="E1106" s="38" t="s">
        <v>43</v>
      </c>
      <c r="F1106" s="38" t="s">
        <v>44</v>
      </c>
    </row>
    <row r="1107" spans="1:6" ht="33.75" x14ac:dyDescent="0.25">
      <c r="A1107" s="39" t="s">
        <v>110</v>
      </c>
      <c r="B1107" s="40" t="str">
        <f ca="1">IFERROR(INDEX(UNSPSCDes,MATCH(INDIRECT(ADDRESS(ROW(),COLUMN()-1,4)),UNSPSCCode,0)),IF(INDIRECT(ADDRESS(ROW(),COLUMN()-1,4))="11161502","Textiles de seda de tejido  jacquard",""))</f>
        <v>Textiles de seda de tejido  jacquard</v>
      </c>
      <c r="C1107" s="41" t="str">
        <f>IFERROR(VLOOKUP("YD",'[1]Informacion '!P:Q,2,FALSE),"")</f>
        <v>Yarda</v>
      </c>
      <c r="D1107" s="39">
        <v>2</v>
      </c>
      <c r="E1107" s="42">
        <v>25575</v>
      </c>
      <c r="F1107" s="43">
        <f t="shared" ref="F1107:F1114" ca="1" si="53">INDIRECT(ADDRESS(ROW(),COLUMN()-2,4))*INDIRECT(ADDRESS(ROW(),COLUMN()-1,4))</f>
        <v>51150</v>
      </c>
    </row>
    <row r="1108" spans="1:6" ht="33.75" x14ac:dyDescent="0.25">
      <c r="A1108" s="39" t="s">
        <v>110</v>
      </c>
      <c r="B1108" s="40" t="str">
        <f ca="1">IFERROR(INDEX(UNSPSCDes,MATCH(INDIRECT(ADDRESS(ROW(),COLUMN()-1,4)),UNSPSCCode,0)),IF(INDIRECT(ADDRESS(ROW(),COLUMN()-1,4))="11161502","Textiles de seda de tejido  jacquard",""))</f>
        <v>Textiles de seda de tejido  jacquard</v>
      </c>
      <c r="C1108" s="41" t="str">
        <f>IFERROR(VLOOKUP("YD",'[1]Informacion '!P:Q,2,FALSE),"")</f>
        <v>Yarda</v>
      </c>
      <c r="D1108" s="39">
        <v>1200</v>
      </c>
      <c r="E1108" s="42">
        <v>248</v>
      </c>
      <c r="F1108" s="43">
        <f t="shared" ca="1" si="53"/>
        <v>297600</v>
      </c>
    </row>
    <row r="1109" spans="1:6" ht="33.75" x14ac:dyDescent="0.25">
      <c r="A1109" s="39" t="s">
        <v>110</v>
      </c>
      <c r="B1109" s="40" t="str">
        <f ca="1">IFERROR(INDEX(UNSPSCDes,MATCH(INDIRECT(ADDRESS(ROW(),COLUMN()-1,4)),UNSPSCCode,0)),IF(INDIRECT(ADDRESS(ROW(),COLUMN()-1,4))="11161502","Textiles de seda de tejido  jacquard",""))</f>
        <v>Textiles de seda de tejido  jacquard</v>
      </c>
      <c r="C1109" s="41" t="str">
        <f>IFERROR(VLOOKUP("DOC",'[1]Informacion '!P:Q,2,FALSE),"")</f>
        <v>Docena</v>
      </c>
      <c r="D1109" s="39">
        <v>2</v>
      </c>
      <c r="E1109" s="42">
        <v>1860</v>
      </c>
      <c r="F1109" s="43">
        <f t="shared" ca="1" si="53"/>
        <v>3720</v>
      </c>
    </row>
    <row r="1110" spans="1:6" ht="33.75" x14ac:dyDescent="0.25">
      <c r="A1110" s="39" t="s">
        <v>110</v>
      </c>
      <c r="B1110" s="40" t="str">
        <f ca="1">IFERROR(INDEX(UNSPSCDes,MATCH(INDIRECT(ADDRESS(ROW(),COLUMN()-1,4)),UNSPSCCode,0)),IF(INDIRECT(ADDRESS(ROW(),COLUMN()-1,4))="11161502","Textiles de seda de tejido  jacquard",""))</f>
        <v>Textiles de seda de tejido  jacquard</v>
      </c>
      <c r="C1110" s="41" t="str">
        <f>IFERROR(VLOOKUP("DOC",'[1]Informacion '!P:Q,2,FALSE),"")</f>
        <v>Docena</v>
      </c>
      <c r="D1110" s="39">
        <v>2</v>
      </c>
      <c r="E1110" s="42">
        <v>1860</v>
      </c>
      <c r="F1110" s="43">
        <f t="shared" ca="1" si="53"/>
        <v>3720</v>
      </c>
    </row>
    <row r="1111" spans="1:6" ht="22.5" x14ac:dyDescent="0.25">
      <c r="A1111" s="39" t="s">
        <v>111</v>
      </c>
      <c r="B1111" s="40" t="str">
        <f ca="1">IFERROR(INDEX(UNSPSCDes,MATCH(INDIRECT(ADDRESS(ROW(),COLUMN()-1,4)),UNSPSCCode,0)),IF(INDIRECT(ADDRESS(ROW(),COLUMN()-1,4))="11162113","Telas para tapicería",""))</f>
        <v>Telas para tapicería</v>
      </c>
      <c r="C1111" s="41" t="str">
        <f>IFERROR(VLOOKUP("UD",'[1]Informacion '!P:Q,2,FALSE),"")</f>
        <v>Unidad</v>
      </c>
      <c r="D1111" s="39">
        <v>2</v>
      </c>
      <c r="E1111" s="42">
        <v>21312.5</v>
      </c>
      <c r="F1111" s="43">
        <f t="shared" ca="1" si="53"/>
        <v>42625</v>
      </c>
    </row>
    <row r="1112" spans="1:6" ht="33.75" x14ac:dyDescent="0.25">
      <c r="A1112" s="39" t="s">
        <v>110</v>
      </c>
      <c r="B1112" s="40" t="str">
        <f ca="1">IFERROR(INDEX(UNSPSCDes,MATCH(INDIRECT(ADDRESS(ROW(),COLUMN()-1,4)),UNSPSCCode,0)),IF(INDIRECT(ADDRESS(ROW(),COLUMN()-1,4))="11161502","Textiles de seda de tejido  jacquard",""))</f>
        <v>Textiles de seda de tejido  jacquard</v>
      </c>
      <c r="C1112" s="41" t="str">
        <f>IFERROR(VLOOKUP("UD",'[1]Informacion '!P:Q,2,FALSE),"")</f>
        <v>Unidad</v>
      </c>
      <c r="D1112" s="39">
        <v>3</v>
      </c>
      <c r="E1112" s="42">
        <v>395.25</v>
      </c>
      <c r="F1112" s="43">
        <f t="shared" ca="1" si="53"/>
        <v>1185.75</v>
      </c>
    </row>
    <row r="1113" spans="1:6" ht="33.75" x14ac:dyDescent="0.25">
      <c r="A1113" s="39" t="s">
        <v>112</v>
      </c>
      <c r="B1113" s="40" t="str">
        <f ca="1">IFERROR(INDEX(UNSPSCDes,MATCH(INDIRECT(ADDRESS(ROW(),COLUMN()-1,4)),UNSPSCCode,0)),IF(INDIRECT(ADDRESS(ROW(),COLUMN()-1,4))="23121612","Agujas para máquina de cose",""))</f>
        <v>Agujas para máquina de cose</v>
      </c>
      <c r="C1113" s="41" t="str">
        <f>IFERROR(VLOOKUP("PAQ",'[1]Informacion '!P:Q,2,FALSE),"")</f>
        <v>Paquete</v>
      </c>
      <c r="D1113" s="39">
        <v>7</v>
      </c>
      <c r="E1113" s="42">
        <v>348.75</v>
      </c>
      <c r="F1113" s="43">
        <f t="shared" ca="1" si="53"/>
        <v>2441.25</v>
      </c>
    </row>
    <row r="1114" spans="1:6" x14ac:dyDescent="0.25">
      <c r="A1114" s="39" t="s">
        <v>113</v>
      </c>
      <c r="B1114" s="40" t="str">
        <f ca="1">IFERROR(INDEX(UNSPSCDes,MATCH(INDIRECT(ADDRESS(ROW(),COLUMN()-1,4)),UNSPSCCode,0)),IF(INDIRECT(ADDRESS(ROW(),COLUMN()-1,4))="44121618","Tijeras",""))</f>
        <v>Tijeras</v>
      </c>
      <c r="C1114" s="41" t="str">
        <f>IFERROR(VLOOKUP("UD",'[1]Informacion '!P:Q,2,FALSE),"")</f>
        <v>Unidad</v>
      </c>
      <c r="D1114" s="39">
        <v>2</v>
      </c>
      <c r="E1114" s="42">
        <v>852.5</v>
      </c>
      <c r="F1114" s="43">
        <f t="shared" ca="1" si="53"/>
        <v>1705</v>
      </c>
    </row>
    <row r="1115" spans="1:6" x14ac:dyDescent="0.25">
      <c r="A1115" s="46"/>
      <c r="B1115" s="46"/>
      <c r="C1115" s="46"/>
      <c r="D1115" s="46"/>
      <c r="E1115" s="44" t="s">
        <v>46</v>
      </c>
      <c r="F1115" s="45">
        <f ca="1">SUM(Table37[MONTO TOTAL ESTIMADO])</f>
        <v>404147</v>
      </c>
    </row>
    <row r="1116" spans="1:6" ht="15.75" thickBot="1" x14ac:dyDescent="0.3">
      <c r="A1116" s="46"/>
      <c r="B1116" s="46"/>
      <c r="C1116" s="46"/>
      <c r="D1116" s="46"/>
      <c r="E1116" s="46"/>
      <c r="F1116" s="46"/>
    </row>
    <row r="1117" spans="1:6" ht="34.5" thickBot="1" x14ac:dyDescent="0.3">
      <c r="A1117" s="29" t="s">
        <v>18</v>
      </c>
      <c r="B1117" s="29" t="s">
        <v>19</v>
      </c>
      <c r="C1117" s="29" t="s">
        <v>20</v>
      </c>
      <c r="D1117" s="29" t="s">
        <v>21</v>
      </c>
      <c r="E1117" s="29" t="s">
        <v>22</v>
      </c>
      <c r="F1117" s="29" t="s">
        <v>23</v>
      </c>
    </row>
    <row r="1118" spans="1:6" ht="15.75" thickBot="1" x14ac:dyDescent="0.3">
      <c r="A1118" s="30" t="s">
        <v>114</v>
      </c>
      <c r="B1118" s="30" t="s">
        <v>101</v>
      </c>
      <c r="C1118" s="30" t="s">
        <v>26</v>
      </c>
      <c r="D1118" s="30" t="s">
        <v>27</v>
      </c>
      <c r="E1118" s="30" t="s">
        <v>28</v>
      </c>
      <c r="F1118" s="30"/>
    </row>
    <row r="1119" spans="1:6" ht="15.75" thickBot="1" x14ac:dyDescent="0.3">
      <c r="A1119" s="31" t="s">
        <v>29</v>
      </c>
      <c r="B1119" s="32" t="s">
        <v>30</v>
      </c>
      <c r="C1119" s="33">
        <v>46177</v>
      </c>
      <c r="D1119" s="31" t="s">
        <v>31</v>
      </c>
      <c r="E1119" s="34" t="s">
        <v>32</v>
      </c>
      <c r="F1119" s="35" t="s">
        <v>33</v>
      </c>
    </row>
    <row r="1120" spans="1:6" ht="15.75" thickBot="1" x14ac:dyDescent="0.3">
      <c r="A1120" s="36"/>
      <c r="B1120" s="32" t="s">
        <v>34</v>
      </c>
      <c r="C1120" s="37">
        <f>IF(C1119="","",IF(AND(MONTH(C1119)&gt;=1,MONTH(C1119)&lt;=3),1,IF(AND(MONTH(C1119)&gt;=4,MONTH(C1119)&lt;=6),2,IF(AND(MONTH(C1119)&gt;=7,MONTH(C1119)&lt;=9),3,4))))</f>
        <v>2</v>
      </c>
      <c r="D1120" s="36"/>
      <c r="E1120" s="34" t="s">
        <v>35</v>
      </c>
      <c r="F1120" s="35"/>
    </row>
    <row r="1121" spans="1:6" ht="15.75" thickBot="1" x14ac:dyDescent="0.3">
      <c r="A1121" s="36"/>
      <c r="B1121" s="32" t="s">
        <v>36</v>
      </c>
      <c r="C1121" s="33">
        <v>46212</v>
      </c>
      <c r="D1121" s="36"/>
      <c r="E1121" s="34" t="s">
        <v>37</v>
      </c>
      <c r="F1121" s="35"/>
    </row>
    <row r="1122" spans="1:6" ht="15.75" thickBot="1" x14ac:dyDescent="0.3">
      <c r="A1122" s="36"/>
      <c r="B1122" s="32" t="s">
        <v>34</v>
      </c>
      <c r="C1122" s="37">
        <f>IF(C1121="","",IF(AND(MONTH(C1121)&gt;=1,MONTH(C1121)&lt;=3),1,IF(AND(MONTH(C1121)&gt;=4,MONTH(C1121)&lt;=6),2,IF(AND(MONTH(C1121)&gt;=7,MONTH(C1121)&lt;=9),3,4))))</f>
        <v>3</v>
      </c>
      <c r="D1122" s="36"/>
      <c r="E1122" s="34" t="s">
        <v>38</v>
      </c>
      <c r="F1122" s="35"/>
    </row>
    <row r="1123" spans="1:6" ht="15.75" thickBot="1" x14ac:dyDescent="0.3">
      <c r="A1123" s="46"/>
      <c r="B1123" s="46"/>
      <c r="C1123" s="46"/>
      <c r="D1123" s="46"/>
      <c r="E1123" s="46"/>
      <c r="F1123" s="46"/>
    </row>
    <row r="1124" spans="1:6" ht="15.75" thickBot="1" x14ac:dyDescent="0.3">
      <c r="A1124" s="38" t="s">
        <v>39</v>
      </c>
      <c r="B1124" s="38" t="s">
        <v>40</v>
      </c>
      <c r="C1124" s="38" t="s">
        <v>41</v>
      </c>
      <c r="D1124" s="38" t="s">
        <v>42</v>
      </c>
      <c r="E1124" s="38" t="s">
        <v>43</v>
      </c>
      <c r="F1124" s="38" t="s">
        <v>44</v>
      </c>
    </row>
    <row r="1125" spans="1:6" ht="22.5" x14ac:dyDescent="0.25">
      <c r="A1125" s="39" t="s">
        <v>115</v>
      </c>
      <c r="B1125" s="40" t="str">
        <f ca="1">IFERROR(INDEX(UNSPSCDes,MATCH(INDIRECT(ADDRESS(ROW(),COLUMN()-1,4)),UNSPSCCode,0)),IF(INDIRECT(ADDRESS(ROW(),COLUMN()-1,4))="44122118","Sujetadores de pinza",""))</f>
        <v>Sujetadores de pinza</v>
      </c>
      <c r="C1125" s="41" t="str">
        <f>IFERROR(VLOOKUP("CAJ",'[1]Informacion '!P:Q,2,FALSE),"")</f>
        <v>Caja</v>
      </c>
      <c r="D1125" s="39">
        <v>300</v>
      </c>
      <c r="E1125" s="42">
        <v>110.2</v>
      </c>
      <c r="F1125" s="43">
        <f t="shared" ref="F1125:F1154" ca="1" si="54">INDIRECT(ADDRESS(ROW(),COLUMN()-2,4))*INDIRECT(ADDRESS(ROW(),COLUMN()-1,4))</f>
        <v>33060</v>
      </c>
    </row>
    <row r="1126" spans="1:6" x14ac:dyDescent="0.25">
      <c r="A1126" s="39" t="s">
        <v>116</v>
      </c>
      <c r="B1126" s="40" t="str">
        <f ca="1">IFERROR(INDEX(UNSPSCDes,MATCH(INDIRECT(ADDRESS(ROW(),COLUMN()-1,4)),UNSPSCCode,0)),IF(INDIRECT(ADDRESS(ROW(),COLUMN()-1,4))="44122107","Grapas",""))</f>
        <v>Grapas</v>
      </c>
      <c r="C1126" s="41" t="str">
        <f>IFERROR(VLOOKUP("UD",'[1]Informacion '!P:Q,2,FALSE),"")</f>
        <v>Unidad</v>
      </c>
      <c r="D1126" s="39">
        <v>100</v>
      </c>
      <c r="E1126" s="42">
        <v>364</v>
      </c>
      <c r="F1126" s="43">
        <f t="shared" ca="1" si="54"/>
        <v>36400</v>
      </c>
    </row>
    <row r="1127" spans="1:6" x14ac:dyDescent="0.25">
      <c r="A1127" s="39" t="s">
        <v>113</v>
      </c>
      <c r="B1127" s="40" t="str">
        <f ca="1">IFERROR(INDEX(UNSPSCDes,MATCH(INDIRECT(ADDRESS(ROW(),COLUMN()-1,4)),UNSPSCCode,0)),IF(INDIRECT(ADDRESS(ROW(),COLUMN()-1,4))="44121618","Tijeras",""))</f>
        <v>Tijeras</v>
      </c>
      <c r="C1127" s="41" t="str">
        <f>IFERROR(VLOOKUP("UD",'[1]Informacion '!P:Q,2,FALSE),"")</f>
        <v>Unidad</v>
      </c>
      <c r="D1127" s="39">
        <v>100</v>
      </c>
      <c r="E1127" s="42">
        <v>62</v>
      </c>
      <c r="F1127" s="43">
        <f t="shared" ca="1" si="54"/>
        <v>6200</v>
      </c>
    </row>
    <row r="1128" spans="1:6" x14ac:dyDescent="0.25">
      <c r="A1128" s="39" t="s">
        <v>117</v>
      </c>
      <c r="B1128" s="40" t="str">
        <f ca="1">IFERROR(INDEX(UNSPSCDes,MATCH(INDIRECT(ADDRESS(ROW(),COLUMN()-1,4)),UNSPSCCode,0)),IF(INDIRECT(ADDRESS(ROW(),COLUMN()-1,4))="44122104","Clips para papel",""))</f>
        <v>Clips para papel</v>
      </c>
      <c r="C1128" s="41" t="str">
        <f>IFERROR(VLOOKUP("CAJ",'[1]Informacion '!P:Q,2,FALSE),"")</f>
        <v>Caja</v>
      </c>
      <c r="D1128" s="39">
        <v>30</v>
      </c>
      <c r="E1128" s="42">
        <v>57</v>
      </c>
      <c r="F1128" s="43">
        <f t="shared" ca="1" si="54"/>
        <v>1710</v>
      </c>
    </row>
    <row r="1129" spans="1:6" x14ac:dyDescent="0.25">
      <c r="A1129" s="39" t="s">
        <v>117</v>
      </c>
      <c r="B1129" s="40" t="str">
        <f ca="1">IFERROR(INDEX(UNSPSCDes,MATCH(INDIRECT(ADDRESS(ROW(),COLUMN()-1,4)),UNSPSCCode,0)),IF(INDIRECT(ADDRESS(ROW(),COLUMN()-1,4))="44122104","Clips para papel",""))</f>
        <v>Clips para papel</v>
      </c>
      <c r="C1129" s="41" t="str">
        <f>IFERROR(VLOOKUP("CAJ",'[1]Informacion '!P:Q,2,FALSE),"")</f>
        <v>Caja</v>
      </c>
      <c r="D1129" s="39">
        <v>30</v>
      </c>
      <c r="E1129" s="42">
        <v>26</v>
      </c>
      <c r="F1129" s="43">
        <f t="shared" ca="1" si="54"/>
        <v>780</v>
      </c>
    </row>
    <row r="1130" spans="1:6" ht="33.75" x14ac:dyDescent="0.25">
      <c r="A1130" s="39" t="s">
        <v>118</v>
      </c>
      <c r="B1130" s="40" t="str">
        <f ca="1">IFERROR(INDEX(UNSPSCDes,MATCH(INDIRECT(ADDRESS(ROW(),COLUMN()-1,4)),UNSPSCCode,0)),IF(INDIRECT(ADDRESS(ROW(),COLUMN()-1,4))="44121613","Removedores de grapas (saca ganchos)",""))</f>
        <v>Removedores de grapas (saca ganchos)</v>
      </c>
      <c r="C1130" s="41" t="str">
        <f>IFERROR(VLOOKUP("UD",'[1]Informacion '!P:Q,2,FALSE),"")</f>
        <v>Unidad</v>
      </c>
      <c r="D1130" s="39">
        <v>50</v>
      </c>
      <c r="E1130" s="42">
        <v>39.9</v>
      </c>
      <c r="F1130" s="43">
        <f t="shared" ca="1" si="54"/>
        <v>1995</v>
      </c>
    </row>
    <row r="1131" spans="1:6" x14ac:dyDescent="0.25">
      <c r="A1131" s="39" t="s">
        <v>119</v>
      </c>
      <c r="B1131" s="40" t="str">
        <f ca="1">IFERROR(INDEX(UNSPSCDes,MATCH(INDIRECT(ADDRESS(ROW(),COLUMN()-1,4)),UNSPSCCode,0)),IF(INDIRECT(ADDRESS(ROW(),COLUMN()-1,4))="44121716","Resaltadores",""))</f>
        <v>Resaltadores</v>
      </c>
      <c r="C1131" s="41" t="str">
        <f>IFERROR(VLOOKUP("UD",'[1]Informacion '!P:Q,2,FALSE),"")</f>
        <v>Unidad</v>
      </c>
      <c r="D1131" s="39">
        <v>50</v>
      </c>
      <c r="E1131" s="42">
        <v>209</v>
      </c>
      <c r="F1131" s="43">
        <f t="shared" ca="1" si="54"/>
        <v>10450</v>
      </c>
    </row>
    <row r="1132" spans="1:6" x14ac:dyDescent="0.25">
      <c r="A1132" s="39" t="s">
        <v>120</v>
      </c>
      <c r="B1132" s="40" t="str">
        <f ca="1">IFERROR(INDEX(UNSPSCDes,MATCH(INDIRECT(ADDRESS(ROW(),COLUMN()-1,4)),UNSPSCCode,0)),IF(INDIRECT(ADDRESS(ROW(),COLUMN()-1,4))="44121708","Marcadores",""))</f>
        <v>Marcadores</v>
      </c>
      <c r="C1132" s="41" t="str">
        <f>IFERROR(VLOOKUP("UD",'[1]Informacion '!P:Q,2,FALSE),"")</f>
        <v>Unidad</v>
      </c>
      <c r="D1132" s="39">
        <v>1</v>
      </c>
      <c r="E1132" s="42">
        <v>225</v>
      </c>
      <c r="F1132" s="43">
        <f t="shared" ca="1" si="54"/>
        <v>225</v>
      </c>
    </row>
    <row r="1133" spans="1:6" ht="33.75" x14ac:dyDescent="0.25">
      <c r="A1133" s="39" t="s">
        <v>121</v>
      </c>
      <c r="B1133" s="40" t="str">
        <f ca="1">IFERROR(INDEX(UNSPSCDes,MATCH(INDIRECT(ADDRESS(ROW(),COLUMN()-1,4)),UNSPSCCode,0)),IF(INDIRECT(ADDRESS(ROW(),COLUMN()-1,4))="44112001","Libretas de direcciones o repuestos",""))</f>
        <v>Libretas de direcciones o repuestos</v>
      </c>
      <c r="C1133" s="41" t="str">
        <f>IFERROR(VLOOKUP("UD",'[1]Informacion '!P:Q,2,FALSE),"")</f>
        <v>Unidad</v>
      </c>
      <c r="D1133" s="39">
        <v>100</v>
      </c>
      <c r="E1133" s="42">
        <v>468</v>
      </c>
      <c r="F1133" s="43">
        <f t="shared" ca="1" si="54"/>
        <v>46800</v>
      </c>
    </row>
    <row r="1134" spans="1:6" ht="33.75" x14ac:dyDescent="0.25">
      <c r="A1134" s="39" t="s">
        <v>121</v>
      </c>
      <c r="B1134" s="40" t="str">
        <f ca="1">IFERROR(INDEX(UNSPSCDes,MATCH(INDIRECT(ADDRESS(ROW(),COLUMN()-1,4)),UNSPSCCode,0)),IF(INDIRECT(ADDRESS(ROW(),COLUMN()-1,4))="44112001","Libretas de direcciones o repuestos",""))</f>
        <v>Libretas de direcciones o repuestos</v>
      </c>
      <c r="C1134" s="41" t="str">
        <f>IFERROR(VLOOKUP("UD",'[1]Informacion '!P:Q,2,FALSE),"")</f>
        <v>Unidad</v>
      </c>
      <c r="D1134" s="39">
        <v>50</v>
      </c>
      <c r="E1134" s="42">
        <v>30</v>
      </c>
      <c r="F1134" s="43">
        <f t="shared" ca="1" si="54"/>
        <v>1500</v>
      </c>
    </row>
    <row r="1135" spans="1:6" ht="22.5" x14ac:dyDescent="0.25">
      <c r="A1135" s="39" t="s">
        <v>122</v>
      </c>
      <c r="B1135" s="40" t="str">
        <f ca="1">IFERROR(INDEX(UNSPSCDes,MATCH(INDIRECT(ADDRESS(ROW(),COLUMN()-1,4)),UNSPSCCode,0)),IF(INDIRECT(ADDRESS(ROW(),COLUMN()-1,4))="44121802","Fluido de corrección",""))</f>
        <v>Fluido de corrección</v>
      </c>
      <c r="C1135" s="41" t="str">
        <f>IFERROR(VLOOKUP("UD",'[1]Informacion '!P:Q,2,FALSE),"")</f>
        <v>Unidad</v>
      </c>
      <c r="D1135" s="39">
        <v>50</v>
      </c>
      <c r="E1135" s="42">
        <v>35</v>
      </c>
      <c r="F1135" s="43">
        <f t="shared" ca="1" si="54"/>
        <v>1750</v>
      </c>
    </row>
    <row r="1136" spans="1:6" x14ac:dyDescent="0.25">
      <c r="A1136" s="39" t="s">
        <v>123</v>
      </c>
      <c r="B1136" s="40" t="str">
        <f ca="1">IFERROR(INDEX(UNSPSCDes,MATCH(INDIRECT(ADDRESS(ROW(),COLUMN()-1,4)),UNSPSCCode,0)),IF(INDIRECT(ADDRESS(ROW(),COLUMN()-1,4))="44122003","Carpetas",""))</f>
        <v>Carpetas</v>
      </c>
      <c r="C1136" s="41" t="str">
        <f>IFERROR(VLOOKUP("UD",'[1]Informacion '!P:Q,2,FALSE),"")</f>
        <v>Unidad</v>
      </c>
      <c r="D1136" s="39">
        <v>50</v>
      </c>
      <c r="E1136" s="42">
        <v>522</v>
      </c>
      <c r="F1136" s="43">
        <f t="shared" ca="1" si="54"/>
        <v>26100</v>
      </c>
    </row>
    <row r="1137" spans="1:6" x14ac:dyDescent="0.25">
      <c r="A1137" s="39" t="s">
        <v>123</v>
      </c>
      <c r="B1137" s="40" t="str">
        <f ca="1">IFERROR(INDEX(UNSPSCDes,MATCH(INDIRECT(ADDRESS(ROW(),COLUMN()-1,4)),UNSPSCCode,0)),IF(INDIRECT(ADDRESS(ROW(),COLUMN()-1,4))="44122003","Carpetas",""))</f>
        <v>Carpetas</v>
      </c>
      <c r="C1137" s="41" t="str">
        <f>IFERROR(VLOOKUP("UD",'[1]Informacion '!P:Q,2,FALSE),"")</f>
        <v>Unidad</v>
      </c>
      <c r="D1137" s="39">
        <v>50</v>
      </c>
      <c r="E1137" s="42">
        <v>360</v>
      </c>
      <c r="F1137" s="43">
        <f t="shared" ca="1" si="54"/>
        <v>18000</v>
      </c>
    </row>
    <row r="1138" spans="1:6" x14ac:dyDescent="0.25">
      <c r="A1138" s="39" t="s">
        <v>123</v>
      </c>
      <c r="B1138" s="40" t="str">
        <f ca="1">IFERROR(INDEX(UNSPSCDes,MATCH(INDIRECT(ADDRESS(ROW(),COLUMN()-1,4)),UNSPSCCode,0)),IF(INDIRECT(ADDRESS(ROW(),COLUMN()-1,4))="44122003","Carpetas",""))</f>
        <v>Carpetas</v>
      </c>
      <c r="C1138" s="41" t="str">
        <f>IFERROR(VLOOKUP("UD",'[1]Informacion '!P:Q,2,FALSE),"")</f>
        <v>Unidad</v>
      </c>
      <c r="D1138" s="39">
        <v>50</v>
      </c>
      <c r="E1138" s="42">
        <v>208</v>
      </c>
      <c r="F1138" s="43">
        <f t="shared" ca="1" si="54"/>
        <v>10400</v>
      </c>
    </row>
    <row r="1139" spans="1:6" ht="22.5" x14ac:dyDescent="0.25">
      <c r="A1139" s="39" t="s">
        <v>124</v>
      </c>
      <c r="B1139" s="40" t="str">
        <f ca="1">IFERROR(INDEX(UNSPSCDes,MATCH(INDIRECT(ADDRESS(ROW(),COLUMN()-1,4)),UNSPSCCode,0)),IF(INDIRECT(ADDRESS(ROW(),COLUMN()-1,4))="31201512","Cinta adhesiva transparente",""))</f>
        <v>Cinta adhesiva transparente</v>
      </c>
      <c r="C1139" s="41" t="str">
        <f>IFERROR(VLOOKUP("CAJ",'[1]Informacion '!P:Q,2,FALSE),"")</f>
        <v>Caja</v>
      </c>
      <c r="D1139" s="39">
        <v>4</v>
      </c>
      <c r="E1139" s="42">
        <v>127.3</v>
      </c>
      <c r="F1139" s="43">
        <f t="shared" ca="1" si="54"/>
        <v>509.2</v>
      </c>
    </row>
    <row r="1140" spans="1:6" ht="22.5" x14ac:dyDescent="0.25">
      <c r="A1140" s="39" t="s">
        <v>125</v>
      </c>
      <c r="B1140" s="40" t="str">
        <f ca="1">IFERROR(INDEX(UNSPSCDes,MATCH(INDIRECT(ADDRESS(ROW(),COLUMN()-1,4)),UNSPSCCode,0)),IF(INDIRECT(ADDRESS(ROW(),COLUMN()-1,4))="60105705","Cinta pegante libre de ácido",""))</f>
        <v>Cinta pegante libre de ácido</v>
      </c>
      <c r="C1140" s="41" t="str">
        <f>IFERROR(VLOOKUP("UD",'[1]Informacion '!P:Q,2,FALSE),"")</f>
        <v>Unidad</v>
      </c>
      <c r="D1140" s="39">
        <v>100</v>
      </c>
      <c r="E1140" s="42">
        <v>90</v>
      </c>
      <c r="F1140" s="43">
        <f t="shared" ca="1" si="54"/>
        <v>9000</v>
      </c>
    </row>
    <row r="1141" spans="1:6" ht="33.75" x14ac:dyDescent="0.25">
      <c r="A1141" s="39" t="s">
        <v>126</v>
      </c>
      <c r="B1141" s="40" t="str">
        <f ca="1">IFERROR(INDEX(UNSPSCDes,MATCH(INDIRECT(ADDRESS(ROW(),COLUMN()-1,4)),UNSPSCCode,0)),IF(INDIRECT(ADDRESS(ROW(),COLUMN()-1,4))="44101604","Tablas de protección de base",""))</f>
        <v>Tablas de protección de base</v>
      </c>
      <c r="C1141" s="41" t="str">
        <f>IFERROR(VLOOKUP("UD",'[1]Informacion '!P:Q,2,FALSE),"")</f>
        <v>Unidad</v>
      </c>
      <c r="D1141" s="39">
        <v>100</v>
      </c>
      <c r="E1141" s="42">
        <v>95.4</v>
      </c>
      <c r="F1141" s="43">
        <f t="shared" ca="1" si="54"/>
        <v>9540</v>
      </c>
    </row>
    <row r="1142" spans="1:6" ht="22.5" x14ac:dyDescent="0.25">
      <c r="A1142" s="39" t="s">
        <v>127</v>
      </c>
      <c r="B1142" s="40" t="str">
        <f ca="1">IFERROR(INDEX(UNSPSCDes,MATCH(INDIRECT(ADDRESS(ROW(),COLUMN()-1,4)),UNSPSCCode,0)),IF(INDIRECT(ADDRESS(ROW(),COLUMN()-1,4))="44121706","Lápices de madera",""))</f>
        <v>Lápices de madera</v>
      </c>
      <c r="C1142" s="41" t="str">
        <f>IFERROR(VLOOKUP("CAJ",'[1]Informacion '!P:Q,2,FALSE),"")</f>
        <v>Caja</v>
      </c>
      <c r="D1142" s="39">
        <v>150</v>
      </c>
      <c r="E1142" s="42">
        <v>85</v>
      </c>
      <c r="F1142" s="43">
        <f t="shared" ca="1" si="54"/>
        <v>12750</v>
      </c>
    </row>
    <row r="1143" spans="1:6" ht="22.5" x14ac:dyDescent="0.25">
      <c r="A1143" s="39" t="s">
        <v>128</v>
      </c>
      <c r="B1143" s="40" t="str">
        <f ca="1">IFERROR(INDEX(UNSPSCDes,MATCH(INDIRECT(ADDRESS(ROW(),COLUMN()-1,4)),UNSPSCCode,0)),IF(INDIRECT(ADDRESS(ROW(),COLUMN()-1,4))="44121619","Tajalápices manuales.",""))</f>
        <v>Tajalápices manuales.</v>
      </c>
      <c r="C1143" s="41" t="str">
        <f>IFERROR(VLOOKUP("UD",'[1]Informacion '!P:Q,2,FALSE),"")</f>
        <v>Unidad</v>
      </c>
      <c r="D1143" s="39">
        <v>100</v>
      </c>
      <c r="E1143" s="42">
        <v>190.8</v>
      </c>
      <c r="F1143" s="43">
        <f t="shared" ca="1" si="54"/>
        <v>19080</v>
      </c>
    </row>
    <row r="1144" spans="1:6" x14ac:dyDescent="0.25">
      <c r="A1144" s="39" t="s">
        <v>129</v>
      </c>
      <c r="B1144" s="40" t="str">
        <f ca="1">IFERROR(INDEX(UNSPSCDes,MATCH(INDIRECT(ADDRESS(ROW(),COLUMN()-1,4)),UNSPSCCode,0)),IF(INDIRECT(ADDRESS(ROW(),COLUMN()-1,4))="44121701","Bolígrafos",""))</f>
        <v>Bolígrafos</v>
      </c>
      <c r="C1144" s="41" t="str">
        <f>IFERROR(VLOOKUP("CAJ",'[1]Informacion '!P:Q,2,FALSE),"")</f>
        <v>Caja</v>
      </c>
      <c r="D1144" s="39">
        <v>144</v>
      </c>
      <c r="E1144" s="42">
        <v>127.3</v>
      </c>
      <c r="F1144" s="43">
        <f t="shared" ca="1" si="54"/>
        <v>18331.2</v>
      </c>
    </row>
    <row r="1145" spans="1:6" x14ac:dyDescent="0.25">
      <c r="A1145" s="39" t="s">
        <v>129</v>
      </c>
      <c r="B1145" s="40" t="str">
        <f ca="1">IFERROR(INDEX(UNSPSCDes,MATCH(INDIRECT(ADDRESS(ROW(),COLUMN()-1,4)),UNSPSCCode,0)),IF(INDIRECT(ADDRESS(ROW(),COLUMN()-1,4))="44121701","Bolígrafos",""))</f>
        <v>Bolígrafos</v>
      </c>
      <c r="C1145" s="41" t="str">
        <f>IFERROR(VLOOKUP("CAJ",'[1]Informacion '!P:Q,2,FALSE),"")</f>
        <v>Caja</v>
      </c>
      <c r="D1145" s="39">
        <v>144</v>
      </c>
      <c r="E1145" s="42">
        <v>127.3</v>
      </c>
      <c r="F1145" s="43">
        <f t="shared" ca="1" si="54"/>
        <v>18331.2</v>
      </c>
    </row>
    <row r="1146" spans="1:6" ht="16.5" customHeight="1" x14ac:dyDescent="0.25">
      <c r="A1146" s="39" t="s">
        <v>127</v>
      </c>
      <c r="B1146" s="40" t="str">
        <f ca="1">IFERROR(INDEX(UNSPSCDes,MATCH(INDIRECT(ADDRESS(ROW(),COLUMN()-1,4)),UNSPSCCode,0)),IF(INDIRECT(ADDRESS(ROW(),COLUMN()-1,4))="44121706","Lápices de madera",""))</f>
        <v>Lápices de madera</v>
      </c>
      <c r="C1146" s="41" t="str">
        <f>IFERROR(VLOOKUP("CAJ",'[1]Informacion '!P:Q,2,FALSE),"")</f>
        <v>Caja</v>
      </c>
      <c r="D1146" s="39">
        <v>100</v>
      </c>
      <c r="E1146" s="42">
        <v>85</v>
      </c>
      <c r="F1146" s="43">
        <f t="shared" ca="1" si="54"/>
        <v>8500</v>
      </c>
    </row>
    <row r="1147" spans="1:6" x14ac:dyDescent="0.25">
      <c r="A1147" s="39" t="s">
        <v>129</v>
      </c>
      <c r="B1147" s="40" t="str">
        <f ca="1">IFERROR(INDEX(UNSPSCDes,MATCH(INDIRECT(ADDRESS(ROW(),COLUMN()-1,4)),UNSPSCCode,0)),IF(INDIRECT(ADDRESS(ROW(),COLUMN()-1,4))="44121701","Bolígrafos",""))</f>
        <v>Bolígrafos</v>
      </c>
      <c r="C1147" s="41" t="str">
        <f>IFERROR(VLOOKUP("UD",'[1]Informacion '!P:Q,2,FALSE),"")</f>
        <v>Unidad</v>
      </c>
      <c r="D1147" s="39">
        <v>100</v>
      </c>
      <c r="E1147" s="42">
        <v>42</v>
      </c>
      <c r="F1147" s="43">
        <f t="shared" ca="1" si="54"/>
        <v>4200</v>
      </c>
    </row>
    <row r="1148" spans="1:6" x14ac:dyDescent="0.25">
      <c r="A1148" s="39" t="s">
        <v>130</v>
      </c>
      <c r="B1148" s="40" t="str">
        <f ca="1">IFERROR(INDEX(UNSPSCDes,MATCH(INDIRECT(ADDRESS(ROW(),COLUMN()-1,4)),UNSPSCCode,0)),IF(INDIRECT(ADDRESS(ROW(),COLUMN()-1,4))="44121615","Grapadoras",""))</f>
        <v>Grapadoras</v>
      </c>
      <c r="C1148" s="41" t="str">
        <f>IFERROR(VLOOKUP("UD",'[1]Informacion '!P:Q,2,FALSE),"")</f>
        <v>Unidad</v>
      </c>
      <c r="D1148" s="39">
        <v>50</v>
      </c>
      <c r="E1148" s="42">
        <v>250</v>
      </c>
      <c r="F1148" s="43">
        <f t="shared" ca="1" si="54"/>
        <v>12500</v>
      </c>
    </row>
    <row r="1149" spans="1:6" x14ac:dyDescent="0.25">
      <c r="A1149" s="39" t="s">
        <v>120</v>
      </c>
      <c r="B1149" s="40" t="str">
        <f ca="1">IFERROR(INDEX(UNSPSCDes,MATCH(INDIRECT(ADDRESS(ROW(),COLUMN()-1,4)),UNSPSCCode,0)),IF(INDIRECT(ADDRESS(ROW(),COLUMN()-1,4))="44121708","Marcadores",""))</f>
        <v>Marcadores</v>
      </c>
      <c r="C1149" s="41" t="str">
        <f>IFERROR(VLOOKUP("UD",'[1]Informacion '!P:Q,2,FALSE),"")</f>
        <v>Unidad</v>
      </c>
      <c r="D1149" s="39">
        <v>100</v>
      </c>
      <c r="E1149" s="42">
        <v>225</v>
      </c>
      <c r="F1149" s="43">
        <f t="shared" ca="1" si="54"/>
        <v>22500</v>
      </c>
    </row>
    <row r="1150" spans="1:6" ht="33.75" x14ac:dyDescent="0.25">
      <c r="A1150" s="39" t="s">
        <v>131</v>
      </c>
      <c r="B1150" s="40" t="str">
        <f ca="1">IFERROR(INDEX(UNSPSCDes,MATCH(INDIRECT(ADDRESS(ROW(),COLUMN()-1,4)),UNSPSCCode,0)),IF(INDIRECT(ADDRESS(ROW(),COLUMN()-1,4))="14111514","Blocs o cuadernos de papel",""))</f>
        <v>Blocs o cuadernos de papel</v>
      </c>
      <c r="C1150" s="41" t="str">
        <f>IFERROR(VLOOKUP("UD",'[1]Informacion '!P:Q,2,FALSE),"")</f>
        <v>Unidad</v>
      </c>
      <c r="D1150" s="39">
        <v>100</v>
      </c>
      <c r="E1150" s="42">
        <v>126</v>
      </c>
      <c r="F1150" s="43">
        <f t="shared" ca="1" si="54"/>
        <v>12600</v>
      </c>
    </row>
    <row r="1151" spans="1:6" ht="22.5" x14ac:dyDescent="0.25">
      <c r="A1151" s="39" t="s">
        <v>132</v>
      </c>
      <c r="B1151" s="40" t="str">
        <f ca="1">IFERROR(INDEX(UNSPSCDes,MATCH(INDIRECT(ADDRESS(ROW(),COLUMN()-1,4)),UNSPSCCode,0)),IF(INDIRECT(ADDRESS(ROW(),COLUMN()-1,4))="44112005","Libretas de citas o repuestos",""))</f>
        <v>Libretas de citas o repuestos</v>
      </c>
      <c r="C1151" s="41" t="str">
        <f>IFERROR(VLOOKUP("UD",'[1]Informacion '!P:Q,2,FALSE),"")</f>
        <v>Unidad</v>
      </c>
      <c r="D1151" s="39">
        <v>200</v>
      </c>
      <c r="E1151" s="42">
        <v>450</v>
      </c>
      <c r="F1151" s="43">
        <f t="shared" ca="1" si="54"/>
        <v>90000</v>
      </c>
    </row>
    <row r="1152" spans="1:6" ht="33.75" x14ac:dyDescent="0.25">
      <c r="A1152" s="39" t="s">
        <v>133</v>
      </c>
      <c r="B1152" s="40" t="str">
        <f ca="1">IFERROR(INDEX(UNSPSCDes,MATCH(INDIRECT(ADDRESS(ROW(),COLUMN()-1,4)),UNSPSCCode,0)),IF(INDIRECT(ADDRESS(ROW(),COLUMN()-1,4))="44111503","Organizadores o bandejas para el escritorio",""))</f>
        <v>Organizadores o bandejas para el escritorio</v>
      </c>
      <c r="C1152" s="41" t="str">
        <f>IFERROR(VLOOKUP("UD",'[1]Informacion '!P:Q,2,FALSE),"")</f>
        <v>Unidad</v>
      </c>
      <c r="D1152" s="39">
        <v>100</v>
      </c>
      <c r="E1152" s="42">
        <v>608</v>
      </c>
      <c r="F1152" s="43">
        <f t="shared" ca="1" si="54"/>
        <v>60800</v>
      </c>
    </row>
    <row r="1153" spans="1:6" ht="18" customHeight="1" x14ac:dyDescent="0.25">
      <c r="A1153" s="39" t="s">
        <v>134</v>
      </c>
      <c r="B1153" s="40" t="str">
        <f ca="1">IFERROR(INDEX(UNSPSCDes,MATCH(INDIRECT(ADDRESS(ROW(),COLUMN()-1,4)),UNSPSCCode,0)),IF(INDIRECT(ADDRESS(ROW(),COLUMN()-1,4))="44122011","Folders",""))</f>
        <v>Folders</v>
      </c>
      <c r="C1153" s="41" t="str">
        <f>IFERROR(VLOOKUP("UD",'[1]Informacion '!P:Q,2,FALSE),"")</f>
        <v>Unidad</v>
      </c>
      <c r="D1153" s="39">
        <v>50</v>
      </c>
      <c r="E1153" s="42">
        <v>750</v>
      </c>
      <c r="F1153" s="43">
        <f t="shared" ca="1" si="54"/>
        <v>37500</v>
      </c>
    </row>
    <row r="1154" spans="1:6" ht="36" customHeight="1" x14ac:dyDescent="0.25">
      <c r="A1154" s="39" t="s">
        <v>135</v>
      </c>
      <c r="B1154" s="40" t="str">
        <f ca="1">IFERROR(INDEX(UNSPSCDes,MATCH(INDIRECT(ADDRESS(ROW(),COLUMN()-1,4)),UNSPSCCode,0)),IF(INDIRECT(ADDRESS(ROW(),COLUMN()-1,4))="44103121","Guías de rollo para impresoras, faxes o fotocopiadoras",""))</f>
        <v>Guías de rollo para impresoras, faxes o fotocopiadoras</v>
      </c>
      <c r="C1154" s="41" t="str">
        <f>IFERROR(VLOOKUP("UD",'[1]Informacion '!P:Q,2,FALSE),"")</f>
        <v>Unidad</v>
      </c>
      <c r="D1154" s="39">
        <v>200</v>
      </c>
      <c r="E1154" s="42">
        <v>37.799999999999997</v>
      </c>
      <c r="F1154" s="43">
        <f t="shared" ca="1" si="54"/>
        <v>7559.9999999999991</v>
      </c>
    </row>
    <row r="1155" spans="1:6" x14ac:dyDescent="0.25">
      <c r="A1155" s="46"/>
      <c r="B1155" s="46"/>
      <c r="C1155" s="46"/>
      <c r="D1155" s="46"/>
      <c r="E1155" s="44" t="s">
        <v>46</v>
      </c>
      <c r="F1155" s="45">
        <f ca="1">SUM(Table38[MONTO TOTAL ESTIMADO])</f>
        <v>539071.60000000009</v>
      </c>
    </row>
    <row r="1156" spans="1:6" ht="15.75" thickBot="1" x14ac:dyDescent="0.3">
      <c r="A1156" s="46"/>
      <c r="B1156" s="46"/>
      <c r="C1156" s="46"/>
      <c r="D1156" s="46"/>
      <c r="E1156" s="46"/>
      <c r="F1156" s="46"/>
    </row>
    <row r="1157" spans="1:6" ht="34.5" thickBot="1" x14ac:dyDescent="0.3">
      <c r="A1157" s="29" t="s">
        <v>18</v>
      </c>
      <c r="B1157" s="29" t="s">
        <v>19</v>
      </c>
      <c r="C1157" s="29" t="s">
        <v>20</v>
      </c>
      <c r="D1157" s="29" t="s">
        <v>21</v>
      </c>
      <c r="E1157" s="29" t="s">
        <v>22</v>
      </c>
      <c r="F1157" s="29" t="s">
        <v>23</v>
      </c>
    </row>
    <row r="1158" spans="1:6" ht="15.75" thickBot="1" x14ac:dyDescent="0.3">
      <c r="A1158" s="30" t="s">
        <v>114</v>
      </c>
      <c r="B1158" s="30" t="s">
        <v>101</v>
      </c>
      <c r="C1158" s="30" t="s">
        <v>26</v>
      </c>
      <c r="D1158" s="30" t="s">
        <v>27</v>
      </c>
      <c r="E1158" s="30" t="s">
        <v>28</v>
      </c>
      <c r="F1158" s="30"/>
    </row>
    <row r="1159" spans="1:6" ht="15.75" thickBot="1" x14ac:dyDescent="0.3">
      <c r="A1159" s="31" t="s">
        <v>29</v>
      </c>
      <c r="B1159" s="32" t="s">
        <v>30</v>
      </c>
      <c r="C1159" s="33">
        <v>46150</v>
      </c>
      <c r="D1159" s="31" t="s">
        <v>31</v>
      </c>
      <c r="E1159" s="34" t="s">
        <v>32</v>
      </c>
      <c r="F1159" s="35" t="s">
        <v>33</v>
      </c>
    </row>
    <row r="1160" spans="1:6" ht="15.75" thickBot="1" x14ac:dyDescent="0.3">
      <c r="A1160" s="36"/>
      <c r="B1160" s="32" t="s">
        <v>34</v>
      </c>
      <c r="C1160" s="37">
        <f>IF(C1159="","",IF(AND(MONTH(C1159)&gt;=1,MONTH(C1159)&lt;=3),1,IF(AND(MONTH(C1159)&gt;=4,MONTH(C1159)&lt;=6),2,IF(AND(MONTH(C1159)&gt;=7,MONTH(C1159)&lt;=9),3,4))))</f>
        <v>2</v>
      </c>
      <c r="D1160" s="36"/>
      <c r="E1160" s="34" t="s">
        <v>35</v>
      </c>
      <c r="F1160" s="35"/>
    </row>
    <row r="1161" spans="1:6" ht="15.75" thickBot="1" x14ac:dyDescent="0.3">
      <c r="A1161" s="36"/>
      <c r="B1161" s="32" t="s">
        <v>36</v>
      </c>
      <c r="C1161" s="33">
        <v>46156</v>
      </c>
      <c r="D1161" s="36"/>
      <c r="E1161" s="34" t="s">
        <v>37</v>
      </c>
      <c r="F1161" s="35"/>
    </row>
    <row r="1162" spans="1:6" ht="15.75" thickBot="1" x14ac:dyDescent="0.3">
      <c r="A1162" s="36"/>
      <c r="B1162" s="32" t="s">
        <v>34</v>
      </c>
      <c r="C1162" s="37">
        <f>IF(C1161="","",IF(AND(MONTH(C1161)&gt;=1,MONTH(C1161)&lt;=3),1,IF(AND(MONTH(C1161)&gt;=4,MONTH(C1161)&lt;=6),2,IF(AND(MONTH(C1161)&gt;=7,MONTH(C1161)&lt;=9),3,4))))</f>
        <v>2</v>
      </c>
      <c r="D1162" s="36"/>
      <c r="E1162" s="34" t="s">
        <v>38</v>
      </c>
      <c r="F1162" s="35"/>
    </row>
    <row r="1163" spans="1:6" ht="15.75" thickBot="1" x14ac:dyDescent="0.3">
      <c r="A1163" s="46"/>
      <c r="B1163" s="46"/>
      <c r="C1163" s="46"/>
      <c r="D1163" s="46"/>
      <c r="E1163" s="46"/>
      <c r="F1163" s="46"/>
    </row>
    <row r="1164" spans="1:6" ht="15.75" thickBot="1" x14ac:dyDescent="0.3">
      <c r="A1164" s="38" t="s">
        <v>39</v>
      </c>
      <c r="B1164" s="38" t="s">
        <v>40</v>
      </c>
      <c r="C1164" s="38" t="s">
        <v>41</v>
      </c>
      <c r="D1164" s="38" t="s">
        <v>42</v>
      </c>
      <c r="E1164" s="38" t="s">
        <v>43</v>
      </c>
      <c r="F1164" s="38" t="s">
        <v>44</v>
      </c>
    </row>
    <row r="1165" spans="1:6" ht="22.5" x14ac:dyDescent="0.25">
      <c r="A1165" s="39" t="s">
        <v>115</v>
      </c>
      <c r="B1165" s="40" t="str">
        <f ca="1">IFERROR(INDEX(UNSPSCDes,MATCH(INDIRECT(ADDRESS(ROW(),COLUMN()-1,4)),UNSPSCCode,0)),IF(INDIRECT(ADDRESS(ROW(),COLUMN()-1,4))="44122118","Sujetadores de pinza",""))</f>
        <v>Sujetadores de pinza</v>
      </c>
      <c r="C1165" s="41" t="str">
        <f>IFERROR(VLOOKUP("CAJ",'[1]Informacion '!P:Q,2,FALSE),"")</f>
        <v>Caja</v>
      </c>
      <c r="D1165" s="39">
        <v>300</v>
      </c>
      <c r="E1165" s="42">
        <v>110.2</v>
      </c>
      <c r="F1165" s="43">
        <f t="shared" ref="F1165:F1194" ca="1" si="55">INDIRECT(ADDRESS(ROW(),COLUMN()-2,4))*INDIRECT(ADDRESS(ROW(),COLUMN()-1,4))</f>
        <v>33060</v>
      </c>
    </row>
    <row r="1166" spans="1:6" x14ac:dyDescent="0.25">
      <c r="A1166" s="39" t="s">
        <v>116</v>
      </c>
      <c r="B1166" s="40" t="str">
        <f ca="1">IFERROR(INDEX(UNSPSCDes,MATCH(INDIRECT(ADDRESS(ROW(),COLUMN()-1,4)),UNSPSCCode,0)),IF(INDIRECT(ADDRESS(ROW(),COLUMN()-1,4))="44122107","Grapas",""))</f>
        <v>Grapas</v>
      </c>
      <c r="C1166" s="41" t="str">
        <f>IFERROR(VLOOKUP("UD",'[1]Informacion '!P:Q,2,FALSE),"")</f>
        <v>Unidad</v>
      </c>
      <c r="D1166" s="39">
        <v>100</v>
      </c>
      <c r="E1166" s="42">
        <v>364</v>
      </c>
      <c r="F1166" s="43">
        <f t="shared" ca="1" si="55"/>
        <v>36400</v>
      </c>
    </row>
    <row r="1167" spans="1:6" x14ac:dyDescent="0.25">
      <c r="A1167" s="39" t="s">
        <v>113</v>
      </c>
      <c r="B1167" s="40" t="str">
        <f ca="1">IFERROR(INDEX(UNSPSCDes,MATCH(INDIRECT(ADDRESS(ROW(),COLUMN()-1,4)),UNSPSCCode,0)),IF(INDIRECT(ADDRESS(ROW(),COLUMN()-1,4))="44121618","Tijeras",""))</f>
        <v>Tijeras</v>
      </c>
      <c r="C1167" s="41" t="str">
        <f>IFERROR(VLOOKUP("UD",'[1]Informacion '!P:Q,2,FALSE),"")</f>
        <v>Unidad</v>
      </c>
      <c r="D1167" s="39">
        <v>100</v>
      </c>
      <c r="E1167" s="42">
        <v>62</v>
      </c>
      <c r="F1167" s="43">
        <f t="shared" ca="1" si="55"/>
        <v>6200</v>
      </c>
    </row>
    <row r="1168" spans="1:6" x14ac:dyDescent="0.25">
      <c r="A1168" s="39" t="s">
        <v>117</v>
      </c>
      <c r="B1168" s="40" t="str">
        <f ca="1">IFERROR(INDEX(UNSPSCDes,MATCH(INDIRECT(ADDRESS(ROW(),COLUMN()-1,4)),UNSPSCCode,0)),IF(INDIRECT(ADDRESS(ROW(),COLUMN()-1,4))="44122104","Clips para papel",""))</f>
        <v>Clips para papel</v>
      </c>
      <c r="C1168" s="41" t="str">
        <f>IFERROR(VLOOKUP("CAJ",'[1]Informacion '!P:Q,2,FALSE),"")</f>
        <v>Caja</v>
      </c>
      <c r="D1168" s="39">
        <v>30</v>
      </c>
      <c r="E1168" s="42">
        <v>57</v>
      </c>
      <c r="F1168" s="43">
        <f t="shared" ca="1" si="55"/>
        <v>1710</v>
      </c>
    </row>
    <row r="1169" spans="1:6" x14ac:dyDescent="0.25">
      <c r="A1169" s="39" t="s">
        <v>117</v>
      </c>
      <c r="B1169" s="40" t="str">
        <f ca="1">IFERROR(INDEX(UNSPSCDes,MATCH(INDIRECT(ADDRESS(ROW(),COLUMN()-1,4)),UNSPSCCode,0)),IF(INDIRECT(ADDRESS(ROW(),COLUMN()-1,4))="44122104","Clips para papel",""))</f>
        <v>Clips para papel</v>
      </c>
      <c r="C1169" s="41" t="str">
        <f>IFERROR(VLOOKUP("CAJ",'[1]Informacion '!P:Q,2,FALSE),"")</f>
        <v>Caja</v>
      </c>
      <c r="D1169" s="39">
        <v>30</v>
      </c>
      <c r="E1169" s="42">
        <v>26</v>
      </c>
      <c r="F1169" s="43">
        <f t="shared" ca="1" si="55"/>
        <v>780</v>
      </c>
    </row>
    <row r="1170" spans="1:6" ht="27" customHeight="1" x14ac:dyDescent="0.25">
      <c r="A1170" s="39" t="s">
        <v>118</v>
      </c>
      <c r="B1170" s="40" t="str">
        <f ca="1">IFERROR(INDEX(UNSPSCDes,MATCH(INDIRECT(ADDRESS(ROW(),COLUMN()-1,4)),UNSPSCCode,0)),IF(INDIRECT(ADDRESS(ROW(),COLUMN()-1,4))="44121613","Removedores de grapas (saca ganchos)",""))</f>
        <v>Removedores de grapas (saca ganchos)</v>
      </c>
      <c r="C1170" s="41" t="str">
        <f>IFERROR(VLOOKUP("UD",'[1]Informacion '!P:Q,2,FALSE),"")</f>
        <v>Unidad</v>
      </c>
      <c r="D1170" s="39">
        <v>50</v>
      </c>
      <c r="E1170" s="42">
        <v>39.9</v>
      </c>
      <c r="F1170" s="43">
        <f t="shared" ca="1" si="55"/>
        <v>1995</v>
      </c>
    </row>
    <row r="1171" spans="1:6" x14ac:dyDescent="0.25">
      <c r="A1171" s="39" t="s">
        <v>119</v>
      </c>
      <c r="B1171" s="40" t="str">
        <f ca="1">IFERROR(INDEX(UNSPSCDes,MATCH(INDIRECT(ADDRESS(ROW(),COLUMN()-1,4)),UNSPSCCode,0)),IF(INDIRECT(ADDRESS(ROW(),COLUMN()-1,4))="44121716","Resaltadores",""))</f>
        <v>Resaltadores</v>
      </c>
      <c r="C1171" s="41" t="str">
        <f>IFERROR(VLOOKUP("UD",'[1]Informacion '!P:Q,2,FALSE),"")</f>
        <v>Unidad</v>
      </c>
      <c r="D1171" s="39">
        <v>50</v>
      </c>
      <c r="E1171" s="42">
        <v>209</v>
      </c>
      <c r="F1171" s="43">
        <f t="shared" ca="1" si="55"/>
        <v>10450</v>
      </c>
    </row>
    <row r="1172" spans="1:6" x14ac:dyDescent="0.25">
      <c r="A1172" s="39" t="s">
        <v>120</v>
      </c>
      <c r="B1172" s="40" t="str">
        <f ca="1">IFERROR(INDEX(UNSPSCDes,MATCH(INDIRECT(ADDRESS(ROW(),COLUMN()-1,4)),UNSPSCCode,0)),IF(INDIRECT(ADDRESS(ROW(),COLUMN()-1,4))="44121708","Marcadores",""))</f>
        <v>Marcadores</v>
      </c>
      <c r="C1172" s="41" t="str">
        <f>IFERROR(VLOOKUP("CAJ",'[1]Informacion '!P:Q,2,FALSE),"")</f>
        <v>Caja</v>
      </c>
      <c r="D1172" s="39">
        <v>1</v>
      </c>
      <c r="E1172" s="42">
        <v>225</v>
      </c>
      <c r="F1172" s="43">
        <f t="shared" ca="1" si="55"/>
        <v>225</v>
      </c>
    </row>
    <row r="1173" spans="1:6" ht="24" customHeight="1" x14ac:dyDescent="0.25">
      <c r="A1173" s="39" t="s">
        <v>121</v>
      </c>
      <c r="B1173" s="40" t="str">
        <f ca="1">IFERROR(INDEX(UNSPSCDes,MATCH(INDIRECT(ADDRESS(ROW(),COLUMN()-1,4)),UNSPSCCode,0)),IF(INDIRECT(ADDRESS(ROW(),COLUMN()-1,4))="44112001","Libretas de direcciones o repuestos",""))</f>
        <v>Libretas de direcciones o repuestos</v>
      </c>
      <c r="C1173" s="41" t="str">
        <f>IFERROR(VLOOKUP("UD",'[1]Informacion '!P:Q,2,FALSE),"")</f>
        <v>Unidad</v>
      </c>
      <c r="D1173" s="39">
        <v>100</v>
      </c>
      <c r="E1173" s="42">
        <v>468</v>
      </c>
      <c r="F1173" s="43">
        <f t="shared" ca="1" si="55"/>
        <v>46800</v>
      </c>
    </row>
    <row r="1174" spans="1:6" ht="25.5" customHeight="1" x14ac:dyDescent="0.25">
      <c r="A1174" s="39" t="s">
        <v>121</v>
      </c>
      <c r="B1174" s="40" t="str">
        <f ca="1">IFERROR(INDEX(UNSPSCDes,MATCH(INDIRECT(ADDRESS(ROW(),COLUMN()-1,4)),UNSPSCCode,0)),IF(INDIRECT(ADDRESS(ROW(),COLUMN()-1,4))="44112001","Libretas de direcciones o repuestos",""))</f>
        <v>Libretas de direcciones o repuestos</v>
      </c>
      <c r="C1174" s="41" t="str">
        <f>IFERROR(VLOOKUP("UD",'[1]Informacion '!P:Q,2,FALSE),"")</f>
        <v>Unidad</v>
      </c>
      <c r="D1174" s="39">
        <v>50</v>
      </c>
      <c r="E1174" s="42">
        <v>30</v>
      </c>
      <c r="F1174" s="43">
        <f t="shared" ca="1" si="55"/>
        <v>1500</v>
      </c>
    </row>
    <row r="1175" spans="1:6" ht="22.5" x14ac:dyDescent="0.25">
      <c r="A1175" s="39" t="s">
        <v>122</v>
      </c>
      <c r="B1175" s="40" t="str">
        <f ca="1">IFERROR(INDEX(UNSPSCDes,MATCH(INDIRECT(ADDRESS(ROW(),COLUMN()-1,4)),UNSPSCCode,0)),IF(INDIRECT(ADDRESS(ROW(),COLUMN()-1,4))="44121802","Fluido de corrección",""))</f>
        <v>Fluido de corrección</v>
      </c>
      <c r="C1175" s="41" t="str">
        <f>IFERROR(VLOOKUP("UD",'[1]Informacion '!P:Q,2,FALSE),"")</f>
        <v>Unidad</v>
      </c>
      <c r="D1175" s="39">
        <v>50</v>
      </c>
      <c r="E1175" s="42">
        <v>35</v>
      </c>
      <c r="F1175" s="43">
        <f t="shared" ca="1" si="55"/>
        <v>1750</v>
      </c>
    </row>
    <row r="1176" spans="1:6" x14ac:dyDescent="0.25">
      <c r="A1176" s="39" t="s">
        <v>123</v>
      </c>
      <c r="B1176" s="40" t="str">
        <f ca="1">IFERROR(INDEX(UNSPSCDes,MATCH(INDIRECT(ADDRESS(ROW(),COLUMN()-1,4)),UNSPSCCode,0)),IF(INDIRECT(ADDRESS(ROW(),COLUMN()-1,4))="44122003","Carpetas",""))</f>
        <v>Carpetas</v>
      </c>
      <c r="C1176" s="41" t="str">
        <f>IFERROR(VLOOKUP("UD",'[1]Informacion '!P:Q,2,FALSE),"")</f>
        <v>Unidad</v>
      </c>
      <c r="D1176" s="39">
        <v>50</v>
      </c>
      <c r="E1176" s="42">
        <v>522</v>
      </c>
      <c r="F1176" s="43">
        <f t="shared" ca="1" si="55"/>
        <v>26100</v>
      </c>
    </row>
    <row r="1177" spans="1:6" x14ac:dyDescent="0.25">
      <c r="A1177" s="39" t="s">
        <v>123</v>
      </c>
      <c r="B1177" s="40" t="str">
        <f ca="1">IFERROR(INDEX(UNSPSCDes,MATCH(INDIRECT(ADDRESS(ROW(),COLUMN()-1,4)),UNSPSCCode,0)),IF(INDIRECT(ADDRESS(ROW(),COLUMN()-1,4))="44122003","Carpetas",""))</f>
        <v>Carpetas</v>
      </c>
      <c r="C1177" s="41" t="str">
        <f>IFERROR(VLOOKUP("UD",'[1]Informacion '!P:Q,2,FALSE),"")</f>
        <v>Unidad</v>
      </c>
      <c r="D1177" s="39">
        <v>50</v>
      </c>
      <c r="E1177" s="42">
        <v>360</v>
      </c>
      <c r="F1177" s="43">
        <f t="shared" ca="1" si="55"/>
        <v>18000</v>
      </c>
    </row>
    <row r="1178" spans="1:6" x14ac:dyDescent="0.25">
      <c r="A1178" s="39" t="s">
        <v>123</v>
      </c>
      <c r="B1178" s="40" t="str">
        <f ca="1">IFERROR(INDEX(UNSPSCDes,MATCH(INDIRECT(ADDRESS(ROW(),COLUMN()-1,4)),UNSPSCCode,0)),IF(INDIRECT(ADDRESS(ROW(),COLUMN()-1,4))="44122003","Carpetas",""))</f>
        <v>Carpetas</v>
      </c>
      <c r="C1178" s="41" t="str">
        <f>IFERROR(VLOOKUP("UD",'[1]Informacion '!P:Q,2,FALSE),"")</f>
        <v>Unidad</v>
      </c>
      <c r="D1178" s="39">
        <v>50</v>
      </c>
      <c r="E1178" s="42">
        <v>208</v>
      </c>
      <c r="F1178" s="43">
        <f t="shared" ca="1" si="55"/>
        <v>10400</v>
      </c>
    </row>
    <row r="1179" spans="1:6" ht="22.5" x14ac:dyDescent="0.25">
      <c r="A1179" s="39" t="s">
        <v>124</v>
      </c>
      <c r="B1179" s="40" t="str">
        <f ca="1">IFERROR(INDEX(UNSPSCDes,MATCH(INDIRECT(ADDRESS(ROW(),COLUMN()-1,4)),UNSPSCCode,0)),IF(INDIRECT(ADDRESS(ROW(),COLUMN()-1,4))="31201512","Cinta adhesiva transparente",""))</f>
        <v>Cinta adhesiva transparente</v>
      </c>
      <c r="C1179" s="41" t="str">
        <f>IFERROR(VLOOKUP("UD",'[1]Informacion '!P:Q,2,FALSE),"")</f>
        <v>Unidad</v>
      </c>
      <c r="D1179" s="39">
        <v>4</v>
      </c>
      <c r="E1179" s="42">
        <v>127.3</v>
      </c>
      <c r="F1179" s="43">
        <f t="shared" ca="1" si="55"/>
        <v>509.2</v>
      </c>
    </row>
    <row r="1180" spans="1:6" ht="22.5" x14ac:dyDescent="0.25">
      <c r="A1180" s="39" t="s">
        <v>125</v>
      </c>
      <c r="B1180" s="40" t="str">
        <f ca="1">IFERROR(INDEX(UNSPSCDes,MATCH(INDIRECT(ADDRESS(ROW(),COLUMN()-1,4)),UNSPSCCode,0)),IF(INDIRECT(ADDRESS(ROW(),COLUMN()-1,4))="60105705","Cinta pegante libre de ácido",""))</f>
        <v>Cinta pegante libre de ácido</v>
      </c>
      <c r="C1180" s="41" t="str">
        <f>IFERROR(VLOOKUP("UD",'[1]Informacion '!P:Q,2,FALSE),"")</f>
        <v>Unidad</v>
      </c>
      <c r="D1180" s="39">
        <v>100</v>
      </c>
      <c r="E1180" s="42">
        <v>90</v>
      </c>
      <c r="F1180" s="43">
        <f t="shared" ca="1" si="55"/>
        <v>9000</v>
      </c>
    </row>
    <row r="1181" spans="1:6" ht="33.75" x14ac:dyDescent="0.25">
      <c r="A1181" s="39" t="s">
        <v>126</v>
      </c>
      <c r="B1181" s="40" t="str">
        <f ca="1">IFERROR(INDEX(UNSPSCDes,MATCH(INDIRECT(ADDRESS(ROW(),COLUMN()-1,4)),UNSPSCCode,0)),IF(INDIRECT(ADDRESS(ROW(),COLUMN()-1,4))="44101604","Tablas de protección de base",""))</f>
        <v>Tablas de protección de base</v>
      </c>
      <c r="C1181" s="41" t="str">
        <f>IFERROR(VLOOKUP("UD",'[1]Informacion '!P:Q,2,FALSE),"")</f>
        <v>Unidad</v>
      </c>
      <c r="D1181" s="39">
        <v>100</v>
      </c>
      <c r="E1181" s="42">
        <v>95.4</v>
      </c>
      <c r="F1181" s="43">
        <f t="shared" ca="1" si="55"/>
        <v>9540</v>
      </c>
    </row>
    <row r="1182" spans="1:6" ht="22.5" x14ac:dyDescent="0.25">
      <c r="A1182" s="39" t="s">
        <v>127</v>
      </c>
      <c r="B1182" s="40" t="str">
        <f ca="1">IFERROR(INDEX(UNSPSCDes,MATCH(INDIRECT(ADDRESS(ROW(),COLUMN()-1,4)),UNSPSCCode,0)),IF(INDIRECT(ADDRESS(ROW(),COLUMN()-1,4))="44121706","Lápices de madera",""))</f>
        <v>Lápices de madera</v>
      </c>
      <c r="C1182" s="41" t="str">
        <f>IFERROR(VLOOKUP("UD",'[1]Informacion '!P:Q,2,FALSE),"")</f>
        <v>Unidad</v>
      </c>
      <c r="D1182" s="39">
        <v>150</v>
      </c>
      <c r="E1182" s="42">
        <v>85</v>
      </c>
      <c r="F1182" s="43">
        <f t="shared" ca="1" si="55"/>
        <v>12750</v>
      </c>
    </row>
    <row r="1183" spans="1:6" ht="22.5" x14ac:dyDescent="0.25">
      <c r="A1183" s="39" t="s">
        <v>128</v>
      </c>
      <c r="B1183" s="40" t="str">
        <f ca="1">IFERROR(INDEX(UNSPSCDes,MATCH(INDIRECT(ADDRESS(ROW(),COLUMN()-1,4)),UNSPSCCode,0)),IF(INDIRECT(ADDRESS(ROW(),COLUMN()-1,4))="44121619","Tajalápices manuales.",""))</f>
        <v>Tajalápices manuales.</v>
      </c>
      <c r="C1183" s="41" t="str">
        <f>IFERROR(VLOOKUP("UD",'[1]Informacion '!P:Q,2,FALSE),"")</f>
        <v>Unidad</v>
      </c>
      <c r="D1183" s="39">
        <v>100</v>
      </c>
      <c r="E1183" s="42">
        <v>190.8</v>
      </c>
      <c r="F1183" s="43">
        <f t="shared" ca="1" si="55"/>
        <v>19080</v>
      </c>
    </row>
    <row r="1184" spans="1:6" x14ac:dyDescent="0.25">
      <c r="A1184" s="39" t="s">
        <v>129</v>
      </c>
      <c r="B1184" s="40" t="str">
        <f ca="1">IFERROR(INDEX(UNSPSCDes,MATCH(INDIRECT(ADDRESS(ROW(),COLUMN()-1,4)),UNSPSCCode,0)),IF(INDIRECT(ADDRESS(ROW(),COLUMN()-1,4))="44121701","Bolígrafos",""))</f>
        <v>Bolígrafos</v>
      </c>
      <c r="C1184" s="41" t="str">
        <f>IFERROR(VLOOKUP("UD",'[1]Informacion '!P:Q,2,FALSE),"")</f>
        <v>Unidad</v>
      </c>
      <c r="D1184" s="39">
        <v>144</v>
      </c>
      <c r="E1184" s="42">
        <v>127.3</v>
      </c>
      <c r="F1184" s="43">
        <f t="shared" ca="1" si="55"/>
        <v>18331.2</v>
      </c>
    </row>
    <row r="1185" spans="1:6" x14ac:dyDescent="0.25">
      <c r="A1185" s="39" t="s">
        <v>129</v>
      </c>
      <c r="B1185" s="40" t="str">
        <f ca="1">IFERROR(INDEX(UNSPSCDes,MATCH(INDIRECT(ADDRESS(ROW(),COLUMN()-1,4)),UNSPSCCode,0)),IF(INDIRECT(ADDRESS(ROW(),COLUMN()-1,4))="44121701","Bolígrafos",""))</f>
        <v>Bolígrafos</v>
      </c>
      <c r="C1185" s="41" t="str">
        <f>IFERROR(VLOOKUP("UD",'[1]Informacion '!P:Q,2,FALSE),"")</f>
        <v>Unidad</v>
      </c>
      <c r="D1185" s="39">
        <v>144</v>
      </c>
      <c r="E1185" s="42">
        <v>127.3</v>
      </c>
      <c r="F1185" s="43">
        <f t="shared" ca="1" si="55"/>
        <v>18331.2</v>
      </c>
    </row>
    <row r="1186" spans="1:6" ht="22.5" x14ac:dyDescent="0.25">
      <c r="A1186" s="39" t="s">
        <v>127</v>
      </c>
      <c r="B1186" s="40" t="str">
        <f ca="1">IFERROR(INDEX(UNSPSCDes,MATCH(INDIRECT(ADDRESS(ROW(),COLUMN()-1,4)),UNSPSCCode,0)),IF(INDIRECT(ADDRESS(ROW(),COLUMN()-1,4))="44121706","Lápices de madera",""))</f>
        <v>Lápices de madera</v>
      </c>
      <c r="C1186" s="41" t="str">
        <f>IFERROR(VLOOKUP("UD",'[1]Informacion '!P:Q,2,FALSE),"")</f>
        <v>Unidad</v>
      </c>
      <c r="D1186" s="39">
        <v>100</v>
      </c>
      <c r="E1186" s="42">
        <v>85</v>
      </c>
      <c r="F1186" s="43">
        <f t="shared" ca="1" si="55"/>
        <v>8500</v>
      </c>
    </row>
    <row r="1187" spans="1:6" x14ac:dyDescent="0.25">
      <c r="A1187" s="39" t="s">
        <v>136</v>
      </c>
      <c r="B1187" s="40" t="str">
        <f ca="1">IFERROR(INDEX(UNSPSCDes,MATCH(INDIRECT(ADDRESS(ROW(),COLUMN()-1,4)),UNSPSCCode,0)),IF(INDIRECT(ADDRESS(ROW(),COLUMN()-1,4))="12171703","Tintas",""))</f>
        <v>Tintas</v>
      </c>
      <c r="C1187" s="41" t="str">
        <f>IFERROR(VLOOKUP("UD",'[1]Informacion '!P:Q,2,FALSE),"")</f>
        <v>Unidad</v>
      </c>
      <c r="D1187" s="39">
        <v>100</v>
      </c>
      <c r="E1187" s="42">
        <v>42</v>
      </c>
      <c r="F1187" s="43">
        <f t="shared" ca="1" si="55"/>
        <v>4200</v>
      </c>
    </row>
    <row r="1188" spans="1:6" x14ac:dyDescent="0.25">
      <c r="A1188" s="39" t="s">
        <v>130</v>
      </c>
      <c r="B1188" s="40" t="str">
        <f ca="1">IFERROR(INDEX(UNSPSCDes,MATCH(INDIRECT(ADDRESS(ROW(),COLUMN()-1,4)),UNSPSCCode,0)),IF(INDIRECT(ADDRESS(ROW(),COLUMN()-1,4))="44121615","Grapadoras",""))</f>
        <v>Grapadoras</v>
      </c>
      <c r="C1188" s="41" t="str">
        <f>IFERROR(VLOOKUP("UD",'[1]Informacion '!P:Q,2,FALSE),"")</f>
        <v>Unidad</v>
      </c>
      <c r="D1188" s="39">
        <v>50</v>
      </c>
      <c r="E1188" s="42">
        <v>250</v>
      </c>
      <c r="F1188" s="43">
        <f t="shared" ca="1" si="55"/>
        <v>12500</v>
      </c>
    </row>
    <row r="1189" spans="1:6" x14ac:dyDescent="0.25">
      <c r="A1189" s="39" t="s">
        <v>120</v>
      </c>
      <c r="B1189" s="40" t="str">
        <f ca="1">IFERROR(INDEX(UNSPSCDes,MATCH(INDIRECT(ADDRESS(ROW(),COLUMN()-1,4)),UNSPSCCode,0)),IF(INDIRECT(ADDRESS(ROW(),COLUMN()-1,4))="44121708","Marcadores",""))</f>
        <v>Marcadores</v>
      </c>
      <c r="C1189" s="41" t="str">
        <f>IFERROR(VLOOKUP("UD",'[1]Informacion '!P:Q,2,FALSE),"")</f>
        <v>Unidad</v>
      </c>
      <c r="D1189" s="39">
        <v>100</v>
      </c>
      <c r="E1189" s="42">
        <v>225</v>
      </c>
      <c r="F1189" s="43">
        <f t="shared" ca="1" si="55"/>
        <v>22500</v>
      </c>
    </row>
    <row r="1190" spans="1:6" ht="33.75" x14ac:dyDescent="0.25">
      <c r="A1190" s="39" t="s">
        <v>131</v>
      </c>
      <c r="B1190" s="40" t="str">
        <f ca="1">IFERROR(INDEX(UNSPSCDes,MATCH(INDIRECT(ADDRESS(ROW(),COLUMN()-1,4)),UNSPSCCode,0)),IF(INDIRECT(ADDRESS(ROW(),COLUMN()-1,4))="14111514","Blocs o cuadernos de papel",""))</f>
        <v>Blocs o cuadernos de papel</v>
      </c>
      <c r="C1190" s="41" t="str">
        <f>IFERROR(VLOOKUP("UD",'[1]Informacion '!P:Q,2,FALSE),"")</f>
        <v>Unidad</v>
      </c>
      <c r="D1190" s="39">
        <v>100</v>
      </c>
      <c r="E1190" s="42">
        <v>126</v>
      </c>
      <c r="F1190" s="43">
        <f t="shared" ca="1" si="55"/>
        <v>12600</v>
      </c>
    </row>
    <row r="1191" spans="1:6" ht="22.5" x14ac:dyDescent="0.25">
      <c r="A1191" s="39" t="s">
        <v>132</v>
      </c>
      <c r="B1191" s="40" t="str">
        <f ca="1">IFERROR(INDEX(UNSPSCDes,MATCH(INDIRECT(ADDRESS(ROW(),COLUMN()-1,4)),UNSPSCCode,0)),IF(INDIRECT(ADDRESS(ROW(),COLUMN()-1,4))="44112005","Libretas de citas o repuestos",""))</f>
        <v>Libretas de citas o repuestos</v>
      </c>
      <c r="C1191" s="41" t="str">
        <f>IFERROR(VLOOKUP("UD",'[1]Informacion '!P:Q,2,FALSE),"")</f>
        <v>Unidad</v>
      </c>
      <c r="D1191" s="39">
        <v>200</v>
      </c>
      <c r="E1191" s="42">
        <v>450</v>
      </c>
      <c r="F1191" s="43">
        <f t="shared" ca="1" si="55"/>
        <v>90000</v>
      </c>
    </row>
    <row r="1192" spans="1:6" ht="33.75" x14ac:dyDescent="0.25">
      <c r="A1192" s="39" t="s">
        <v>133</v>
      </c>
      <c r="B1192" s="40" t="str">
        <f ca="1">IFERROR(INDEX(UNSPSCDes,MATCH(INDIRECT(ADDRESS(ROW(),COLUMN()-1,4)),UNSPSCCode,0)),IF(INDIRECT(ADDRESS(ROW(),COLUMN()-1,4))="44111503","Organizadores o bandejas para el escritorio",""))</f>
        <v>Organizadores o bandejas para el escritorio</v>
      </c>
      <c r="C1192" s="41" t="str">
        <f>IFERROR(VLOOKUP("UD",'[1]Informacion '!P:Q,2,FALSE),"")</f>
        <v>Unidad</v>
      </c>
      <c r="D1192" s="39">
        <v>100</v>
      </c>
      <c r="E1192" s="42">
        <v>608</v>
      </c>
      <c r="F1192" s="43">
        <f t="shared" ca="1" si="55"/>
        <v>60800</v>
      </c>
    </row>
    <row r="1193" spans="1:6" x14ac:dyDescent="0.25">
      <c r="A1193" s="39" t="s">
        <v>134</v>
      </c>
      <c r="B1193" s="40" t="str">
        <f ca="1">IFERROR(INDEX(UNSPSCDes,MATCH(INDIRECT(ADDRESS(ROW(),COLUMN()-1,4)),UNSPSCCode,0)),IF(INDIRECT(ADDRESS(ROW(),COLUMN()-1,4))="44122011","Folders",""))</f>
        <v>Folders</v>
      </c>
      <c r="C1193" s="41" t="str">
        <f>IFERROR(VLOOKUP("UD",'[1]Informacion '!P:Q,2,FALSE),"")</f>
        <v>Unidad</v>
      </c>
      <c r="D1193" s="39">
        <v>50</v>
      </c>
      <c r="E1193" s="42">
        <v>750</v>
      </c>
      <c r="F1193" s="43">
        <f t="shared" ca="1" si="55"/>
        <v>37500</v>
      </c>
    </row>
    <row r="1194" spans="1:6" ht="22.5" x14ac:dyDescent="0.25">
      <c r="A1194" s="39" t="s">
        <v>137</v>
      </c>
      <c r="B1194" s="40" t="str">
        <f ca="1">IFERROR(INDEX(UNSPSCDes,MATCH(INDIRECT(ADDRESS(ROW(),COLUMN()-1,4)),UNSPSCCode,0)),IF(INDIRECT(ADDRESS(ROW(),COLUMN()-1,4))="44103112","Cinta de impresora",""))</f>
        <v>Cinta de impresora</v>
      </c>
      <c r="C1194" s="41" t="str">
        <f>IFERROR(VLOOKUP("UD",'[1]Informacion '!P:Q,2,FALSE),"")</f>
        <v>Unidad</v>
      </c>
      <c r="D1194" s="39">
        <v>200</v>
      </c>
      <c r="E1194" s="42">
        <v>37.799999999999997</v>
      </c>
      <c r="F1194" s="43">
        <f t="shared" ca="1" si="55"/>
        <v>7559.9999999999991</v>
      </c>
    </row>
    <row r="1195" spans="1:6" x14ac:dyDescent="0.25">
      <c r="A1195" s="46"/>
      <c r="B1195" s="46"/>
      <c r="C1195" s="46"/>
      <c r="D1195" s="46"/>
      <c r="E1195" s="44" t="s">
        <v>46</v>
      </c>
      <c r="F1195" s="45">
        <f ca="1">SUM(Table39[MONTO TOTAL ESTIMADO])</f>
        <v>539071.60000000009</v>
      </c>
    </row>
    <row r="1196" spans="1:6" ht="15.75" thickBot="1" x14ac:dyDescent="0.3">
      <c r="A1196" s="46"/>
      <c r="B1196" s="46"/>
      <c r="C1196" s="46"/>
      <c r="D1196" s="46"/>
      <c r="E1196" s="46"/>
      <c r="F1196" s="46"/>
    </row>
    <row r="1197" spans="1:6" ht="34.5" thickBot="1" x14ac:dyDescent="0.3">
      <c r="A1197" s="29" t="s">
        <v>18</v>
      </c>
      <c r="B1197" s="29" t="s">
        <v>19</v>
      </c>
      <c r="C1197" s="29" t="s">
        <v>20</v>
      </c>
      <c r="D1197" s="29" t="s">
        <v>21</v>
      </c>
      <c r="E1197" s="29" t="s">
        <v>22</v>
      </c>
      <c r="F1197" s="29" t="s">
        <v>23</v>
      </c>
    </row>
    <row r="1198" spans="1:6" ht="15.75" thickBot="1" x14ac:dyDescent="0.3">
      <c r="A1198" s="30" t="s">
        <v>114</v>
      </c>
      <c r="B1198" s="30" t="s">
        <v>101</v>
      </c>
      <c r="C1198" s="30" t="s">
        <v>26</v>
      </c>
      <c r="D1198" s="30" t="s">
        <v>27</v>
      </c>
      <c r="E1198" s="30" t="s">
        <v>28</v>
      </c>
      <c r="F1198" s="30" t="s">
        <v>17</v>
      </c>
    </row>
    <row r="1199" spans="1:6" ht="15.75" thickBot="1" x14ac:dyDescent="0.3">
      <c r="A1199" s="31" t="s">
        <v>29</v>
      </c>
      <c r="B1199" s="32" t="s">
        <v>30</v>
      </c>
      <c r="C1199" s="33">
        <v>46235</v>
      </c>
      <c r="D1199" s="31" t="s">
        <v>31</v>
      </c>
      <c r="E1199" s="34" t="s">
        <v>32</v>
      </c>
      <c r="F1199" s="35" t="s">
        <v>33</v>
      </c>
    </row>
    <row r="1200" spans="1:6" ht="15.75" thickBot="1" x14ac:dyDescent="0.3">
      <c r="A1200" s="36"/>
      <c r="B1200" s="32" t="s">
        <v>34</v>
      </c>
      <c r="C1200" s="37">
        <f>IF(C1199="","",IF(AND(MONTH(C1199)&gt;=1,MONTH(C1199)&lt;=3),1,IF(AND(MONTH(C1199)&gt;=4,MONTH(C1199)&lt;=6),2,IF(AND(MONTH(C1199)&gt;=7,MONTH(C1199)&lt;=9),3,4))))</f>
        <v>3</v>
      </c>
      <c r="D1200" s="36"/>
      <c r="E1200" s="34" t="s">
        <v>35</v>
      </c>
      <c r="F1200" s="35"/>
    </row>
    <row r="1201" spans="1:6" ht="15.75" thickBot="1" x14ac:dyDescent="0.3">
      <c r="A1201" s="36"/>
      <c r="B1201" s="32" t="s">
        <v>36</v>
      </c>
      <c r="C1201" s="33">
        <v>46239</v>
      </c>
      <c r="D1201" s="36"/>
      <c r="E1201" s="34" t="s">
        <v>37</v>
      </c>
      <c r="F1201" s="35"/>
    </row>
    <row r="1202" spans="1:6" ht="15.75" thickBot="1" x14ac:dyDescent="0.3">
      <c r="A1202" s="36"/>
      <c r="B1202" s="32" t="s">
        <v>34</v>
      </c>
      <c r="C1202" s="37">
        <f>IF(C1201="","",IF(AND(MONTH(C1201)&gt;=1,MONTH(C1201)&lt;=3),1,IF(AND(MONTH(C1201)&gt;=4,MONTH(C1201)&lt;=6),2,IF(AND(MONTH(C1201)&gt;=7,MONTH(C1201)&lt;=9),3,4))))</f>
        <v>3</v>
      </c>
      <c r="D1202" s="36"/>
      <c r="E1202" s="34" t="s">
        <v>38</v>
      </c>
      <c r="F1202" s="35"/>
    </row>
    <row r="1203" spans="1:6" ht="15.75" thickBot="1" x14ac:dyDescent="0.3">
      <c r="A1203" s="46"/>
      <c r="B1203" s="46"/>
      <c r="C1203" s="46"/>
      <c r="D1203" s="46"/>
      <c r="E1203" s="46"/>
      <c r="F1203" s="46"/>
    </row>
    <row r="1204" spans="1:6" ht="15.75" thickBot="1" x14ac:dyDescent="0.3">
      <c r="A1204" s="38" t="s">
        <v>39</v>
      </c>
      <c r="B1204" s="38" t="s">
        <v>40</v>
      </c>
      <c r="C1204" s="38" t="s">
        <v>41</v>
      </c>
      <c r="D1204" s="38" t="s">
        <v>42</v>
      </c>
      <c r="E1204" s="38" t="s">
        <v>43</v>
      </c>
      <c r="F1204" s="38" t="s">
        <v>44</v>
      </c>
    </row>
    <row r="1205" spans="1:6" ht="22.5" x14ac:dyDescent="0.25">
      <c r="A1205" s="39" t="s">
        <v>115</v>
      </c>
      <c r="B1205" s="40" t="str">
        <f ca="1">IFERROR(INDEX(UNSPSCDes,MATCH(INDIRECT(ADDRESS(ROW(),COLUMN()-1,4)),UNSPSCCode,0)),IF(INDIRECT(ADDRESS(ROW(),COLUMN()-1,4))="44122118","Sujetadores de pinza",""))</f>
        <v>Sujetadores de pinza</v>
      </c>
      <c r="C1205" s="41" t="str">
        <f>IFERROR(VLOOKUP("CAJ",'[1]Informacion '!P:Q,2,FALSE),"")</f>
        <v>Caja</v>
      </c>
      <c r="D1205" s="39">
        <v>300</v>
      </c>
      <c r="E1205" s="42">
        <v>110.2</v>
      </c>
      <c r="F1205" s="43">
        <f t="shared" ref="F1205:F1234" ca="1" si="56">INDIRECT(ADDRESS(ROW(),COLUMN()-2,4))*INDIRECT(ADDRESS(ROW(),COLUMN()-1,4))</f>
        <v>33060</v>
      </c>
    </row>
    <row r="1206" spans="1:6" x14ac:dyDescent="0.25">
      <c r="A1206" s="39" t="s">
        <v>116</v>
      </c>
      <c r="B1206" s="40" t="str">
        <f ca="1">IFERROR(INDEX(UNSPSCDes,MATCH(INDIRECT(ADDRESS(ROW(),COLUMN()-1,4)),UNSPSCCode,0)),IF(INDIRECT(ADDRESS(ROW(),COLUMN()-1,4))="44122107","Grapas",""))</f>
        <v>Grapas</v>
      </c>
      <c r="C1206" s="41" t="str">
        <f>IFERROR(VLOOKUP("UD",'[1]Informacion '!P:Q,2,FALSE),"")</f>
        <v>Unidad</v>
      </c>
      <c r="D1206" s="39">
        <v>100</v>
      </c>
      <c r="E1206" s="42">
        <v>364</v>
      </c>
      <c r="F1206" s="43">
        <f t="shared" ca="1" si="56"/>
        <v>36400</v>
      </c>
    </row>
    <row r="1207" spans="1:6" x14ac:dyDescent="0.25">
      <c r="A1207" s="39" t="s">
        <v>113</v>
      </c>
      <c r="B1207" s="40" t="str">
        <f ca="1">IFERROR(INDEX(UNSPSCDes,MATCH(INDIRECT(ADDRESS(ROW(),COLUMN()-1,4)),UNSPSCCode,0)),IF(INDIRECT(ADDRESS(ROW(),COLUMN()-1,4))="44121618","Tijeras",""))</f>
        <v>Tijeras</v>
      </c>
      <c r="C1207" s="41" t="str">
        <f>IFERROR(VLOOKUP("UD",'[1]Informacion '!P:Q,2,FALSE),"")</f>
        <v>Unidad</v>
      </c>
      <c r="D1207" s="39">
        <v>100</v>
      </c>
      <c r="E1207" s="42">
        <v>62</v>
      </c>
      <c r="F1207" s="43">
        <f t="shared" ca="1" si="56"/>
        <v>6200</v>
      </c>
    </row>
    <row r="1208" spans="1:6" x14ac:dyDescent="0.25">
      <c r="A1208" s="39" t="s">
        <v>117</v>
      </c>
      <c r="B1208" s="40" t="str">
        <f ca="1">IFERROR(INDEX(UNSPSCDes,MATCH(INDIRECT(ADDRESS(ROW(),COLUMN()-1,4)),UNSPSCCode,0)),IF(INDIRECT(ADDRESS(ROW(),COLUMN()-1,4))="44122104","Clips para papel",""))</f>
        <v>Clips para papel</v>
      </c>
      <c r="C1208" s="41" t="str">
        <f>IFERROR(VLOOKUP("UD",'[1]Informacion '!P:Q,2,FALSE),"")</f>
        <v>Unidad</v>
      </c>
      <c r="D1208" s="39">
        <v>30</v>
      </c>
      <c r="E1208" s="42">
        <v>57</v>
      </c>
      <c r="F1208" s="43">
        <f t="shared" ca="1" si="56"/>
        <v>1710</v>
      </c>
    </row>
    <row r="1209" spans="1:6" x14ac:dyDescent="0.25">
      <c r="A1209" s="39" t="s">
        <v>117</v>
      </c>
      <c r="B1209" s="40" t="str">
        <f ca="1">IFERROR(INDEX(UNSPSCDes,MATCH(INDIRECT(ADDRESS(ROW(),COLUMN()-1,4)),UNSPSCCode,0)),IF(INDIRECT(ADDRESS(ROW(),COLUMN()-1,4))="44122104","Clips para papel",""))</f>
        <v>Clips para papel</v>
      </c>
      <c r="C1209" s="41" t="str">
        <f>IFERROR(VLOOKUP("UD",'[1]Informacion '!P:Q,2,FALSE),"")</f>
        <v>Unidad</v>
      </c>
      <c r="D1209" s="39">
        <v>30</v>
      </c>
      <c r="E1209" s="42">
        <v>26</v>
      </c>
      <c r="F1209" s="43">
        <f t="shared" ca="1" si="56"/>
        <v>780</v>
      </c>
    </row>
    <row r="1210" spans="1:6" ht="33.75" x14ac:dyDescent="0.25">
      <c r="A1210" s="39" t="s">
        <v>118</v>
      </c>
      <c r="B1210" s="40" t="str">
        <f ca="1">IFERROR(INDEX(UNSPSCDes,MATCH(INDIRECT(ADDRESS(ROW(),COLUMN()-1,4)),UNSPSCCode,0)),IF(INDIRECT(ADDRESS(ROW(),COLUMN()-1,4))="44121613","Removedores de grapas (saca ganchos)",""))</f>
        <v>Removedores de grapas (saca ganchos)</v>
      </c>
      <c r="C1210" s="41" t="str">
        <f>IFERROR(VLOOKUP("UD",'[1]Informacion '!P:Q,2,FALSE),"")</f>
        <v>Unidad</v>
      </c>
      <c r="D1210" s="39">
        <v>50</v>
      </c>
      <c r="E1210" s="42">
        <v>39.9</v>
      </c>
      <c r="F1210" s="43">
        <f t="shared" ca="1" si="56"/>
        <v>1995</v>
      </c>
    </row>
    <row r="1211" spans="1:6" x14ac:dyDescent="0.25">
      <c r="A1211" s="39" t="s">
        <v>119</v>
      </c>
      <c r="B1211" s="40" t="str">
        <f ca="1">IFERROR(INDEX(UNSPSCDes,MATCH(INDIRECT(ADDRESS(ROW(),COLUMN()-1,4)),UNSPSCCode,0)),IF(INDIRECT(ADDRESS(ROW(),COLUMN()-1,4))="44121716","Resaltadores",""))</f>
        <v>Resaltadores</v>
      </c>
      <c r="C1211" s="41" t="str">
        <f>IFERROR(VLOOKUP("UD",'[1]Informacion '!P:Q,2,FALSE),"")</f>
        <v>Unidad</v>
      </c>
      <c r="D1211" s="39">
        <v>50</v>
      </c>
      <c r="E1211" s="42">
        <v>209</v>
      </c>
      <c r="F1211" s="43">
        <f t="shared" ca="1" si="56"/>
        <v>10450</v>
      </c>
    </row>
    <row r="1212" spans="1:6" x14ac:dyDescent="0.25">
      <c r="A1212" s="39" t="s">
        <v>120</v>
      </c>
      <c r="B1212" s="40" t="str">
        <f ca="1">IFERROR(INDEX(UNSPSCDes,MATCH(INDIRECT(ADDRESS(ROW(),COLUMN()-1,4)),UNSPSCCode,0)),IF(INDIRECT(ADDRESS(ROW(),COLUMN()-1,4))="44121708","Marcadores",""))</f>
        <v>Marcadores</v>
      </c>
      <c r="C1212" s="41" t="str">
        <f>IFERROR(VLOOKUP("UD",'[1]Informacion '!P:Q,2,FALSE),"")</f>
        <v>Unidad</v>
      </c>
      <c r="D1212" s="39">
        <v>1</v>
      </c>
      <c r="E1212" s="42">
        <v>225</v>
      </c>
      <c r="F1212" s="43">
        <f t="shared" ca="1" si="56"/>
        <v>225</v>
      </c>
    </row>
    <row r="1213" spans="1:6" ht="33.75" x14ac:dyDescent="0.25">
      <c r="A1213" s="39" t="s">
        <v>121</v>
      </c>
      <c r="B1213" s="40" t="str">
        <f ca="1">IFERROR(INDEX(UNSPSCDes,MATCH(INDIRECT(ADDRESS(ROW(),COLUMN()-1,4)),UNSPSCCode,0)),IF(INDIRECT(ADDRESS(ROW(),COLUMN()-1,4))="44112001","Libretas de direcciones o repuestos",""))</f>
        <v>Libretas de direcciones o repuestos</v>
      </c>
      <c r="C1213" s="41" t="str">
        <f>IFERROR(VLOOKUP("UD",'[1]Informacion '!P:Q,2,FALSE),"")</f>
        <v>Unidad</v>
      </c>
      <c r="D1213" s="39">
        <v>100</v>
      </c>
      <c r="E1213" s="42">
        <v>468</v>
      </c>
      <c r="F1213" s="43">
        <f t="shared" ca="1" si="56"/>
        <v>46800</v>
      </c>
    </row>
    <row r="1214" spans="1:6" ht="33.75" x14ac:dyDescent="0.25">
      <c r="A1214" s="39" t="s">
        <v>121</v>
      </c>
      <c r="B1214" s="40" t="str">
        <f ca="1">IFERROR(INDEX(UNSPSCDes,MATCH(INDIRECT(ADDRESS(ROW(),COLUMN()-1,4)),UNSPSCCode,0)),IF(INDIRECT(ADDRESS(ROW(),COLUMN()-1,4))="44112001","Libretas de direcciones o repuestos",""))</f>
        <v>Libretas de direcciones o repuestos</v>
      </c>
      <c r="C1214" s="41" t="str">
        <f>IFERROR(VLOOKUP("UD",'[1]Informacion '!P:Q,2,FALSE),"")</f>
        <v>Unidad</v>
      </c>
      <c r="D1214" s="39">
        <v>50</v>
      </c>
      <c r="E1214" s="42">
        <v>30</v>
      </c>
      <c r="F1214" s="43">
        <f t="shared" ca="1" si="56"/>
        <v>1500</v>
      </c>
    </row>
    <row r="1215" spans="1:6" ht="22.5" x14ac:dyDescent="0.25">
      <c r="A1215" s="39" t="s">
        <v>122</v>
      </c>
      <c r="B1215" s="40" t="str">
        <f ca="1">IFERROR(INDEX(UNSPSCDes,MATCH(INDIRECT(ADDRESS(ROW(),COLUMN()-1,4)),UNSPSCCode,0)),IF(INDIRECT(ADDRESS(ROW(),COLUMN()-1,4))="44121802","Fluido de corrección",""))</f>
        <v>Fluido de corrección</v>
      </c>
      <c r="C1215" s="41" t="str">
        <f>IFERROR(VLOOKUP("UD",'[1]Informacion '!P:Q,2,FALSE),"")</f>
        <v>Unidad</v>
      </c>
      <c r="D1215" s="39">
        <v>50</v>
      </c>
      <c r="E1215" s="42">
        <v>35</v>
      </c>
      <c r="F1215" s="43">
        <f t="shared" ca="1" si="56"/>
        <v>1750</v>
      </c>
    </row>
    <row r="1216" spans="1:6" x14ac:dyDescent="0.25">
      <c r="A1216" s="39" t="s">
        <v>123</v>
      </c>
      <c r="B1216" s="40" t="str">
        <f ca="1">IFERROR(INDEX(UNSPSCDes,MATCH(INDIRECT(ADDRESS(ROW(),COLUMN()-1,4)),UNSPSCCode,0)),IF(INDIRECT(ADDRESS(ROW(),COLUMN()-1,4))="44122003","Carpetas",""))</f>
        <v>Carpetas</v>
      </c>
      <c r="C1216" s="41" t="str">
        <f>IFERROR(VLOOKUP("UD",'[1]Informacion '!P:Q,2,FALSE),"")</f>
        <v>Unidad</v>
      </c>
      <c r="D1216" s="39">
        <v>50</v>
      </c>
      <c r="E1216" s="42">
        <v>522</v>
      </c>
      <c r="F1216" s="43">
        <f t="shared" ca="1" si="56"/>
        <v>26100</v>
      </c>
    </row>
    <row r="1217" spans="1:6" x14ac:dyDescent="0.25">
      <c r="A1217" s="39" t="s">
        <v>123</v>
      </c>
      <c r="B1217" s="40" t="str">
        <f ca="1">IFERROR(INDEX(UNSPSCDes,MATCH(INDIRECT(ADDRESS(ROW(),COLUMN()-1,4)),UNSPSCCode,0)),IF(INDIRECT(ADDRESS(ROW(),COLUMN()-1,4))="44122003","Carpetas",""))</f>
        <v>Carpetas</v>
      </c>
      <c r="C1217" s="41" t="str">
        <f>IFERROR(VLOOKUP("UD",'[1]Informacion '!P:Q,2,FALSE),"")</f>
        <v>Unidad</v>
      </c>
      <c r="D1217" s="39">
        <v>50</v>
      </c>
      <c r="E1217" s="42">
        <v>360</v>
      </c>
      <c r="F1217" s="43">
        <f t="shared" ca="1" si="56"/>
        <v>18000</v>
      </c>
    </row>
    <row r="1218" spans="1:6" x14ac:dyDescent="0.25">
      <c r="A1218" s="39" t="s">
        <v>123</v>
      </c>
      <c r="B1218" s="40" t="str">
        <f ca="1">IFERROR(INDEX(UNSPSCDes,MATCH(INDIRECT(ADDRESS(ROW(),COLUMN()-1,4)),UNSPSCCode,0)),IF(INDIRECT(ADDRESS(ROW(),COLUMN()-1,4))="44122003","Carpetas",""))</f>
        <v>Carpetas</v>
      </c>
      <c r="C1218" s="41" t="str">
        <f>IFERROR(VLOOKUP("UD",'[1]Informacion '!P:Q,2,FALSE),"")</f>
        <v>Unidad</v>
      </c>
      <c r="D1218" s="39">
        <v>50</v>
      </c>
      <c r="E1218" s="42">
        <v>208</v>
      </c>
      <c r="F1218" s="43">
        <f t="shared" ca="1" si="56"/>
        <v>10400</v>
      </c>
    </row>
    <row r="1219" spans="1:6" ht="22.5" x14ac:dyDescent="0.25">
      <c r="A1219" s="39" t="s">
        <v>124</v>
      </c>
      <c r="B1219" s="40" t="str">
        <f ca="1">IFERROR(INDEX(UNSPSCDes,MATCH(INDIRECT(ADDRESS(ROW(),COLUMN()-1,4)),UNSPSCCode,0)),IF(INDIRECT(ADDRESS(ROW(),COLUMN()-1,4))="31201512","Cinta adhesiva transparente",""))</f>
        <v>Cinta adhesiva transparente</v>
      </c>
      <c r="C1219" s="41" t="str">
        <f>IFERROR(VLOOKUP("UD",'[1]Informacion '!P:Q,2,FALSE),"")</f>
        <v>Unidad</v>
      </c>
      <c r="D1219" s="39">
        <v>4</v>
      </c>
      <c r="E1219" s="42">
        <v>127.3</v>
      </c>
      <c r="F1219" s="43">
        <f t="shared" ca="1" si="56"/>
        <v>509.2</v>
      </c>
    </row>
    <row r="1220" spans="1:6" ht="22.5" x14ac:dyDescent="0.25">
      <c r="A1220" s="39" t="s">
        <v>125</v>
      </c>
      <c r="B1220" s="40" t="str">
        <f ca="1">IFERROR(INDEX(UNSPSCDes,MATCH(INDIRECT(ADDRESS(ROW(),COLUMN()-1,4)),UNSPSCCode,0)),IF(INDIRECT(ADDRESS(ROW(),COLUMN()-1,4))="60105705","Cinta pegante libre de ácido",""))</f>
        <v>Cinta pegante libre de ácido</v>
      </c>
      <c r="C1220" s="41" t="str">
        <f>IFERROR(VLOOKUP("UD",'[1]Informacion '!P:Q,2,FALSE),"")</f>
        <v>Unidad</v>
      </c>
      <c r="D1220" s="39">
        <v>100</v>
      </c>
      <c r="E1220" s="42">
        <v>90</v>
      </c>
      <c r="F1220" s="43">
        <f t="shared" ca="1" si="56"/>
        <v>9000</v>
      </c>
    </row>
    <row r="1221" spans="1:6" ht="33.75" x14ac:dyDescent="0.25">
      <c r="A1221" s="39" t="s">
        <v>126</v>
      </c>
      <c r="B1221" s="40" t="str">
        <f ca="1">IFERROR(INDEX(UNSPSCDes,MATCH(INDIRECT(ADDRESS(ROW(),COLUMN()-1,4)),UNSPSCCode,0)),IF(INDIRECT(ADDRESS(ROW(),COLUMN()-1,4))="44101604","Tablas de protección de base",""))</f>
        <v>Tablas de protección de base</v>
      </c>
      <c r="C1221" s="41" t="str">
        <f>IFERROR(VLOOKUP("UD",'[1]Informacion '!P:Q,2,FALSE),"")</f>
        <v>Unidad</v>
      </c>
      <c r="D1221" s="39">
        <v>100</v>
      </c>
      <c r="E1221" s="42">
        <v>95.4</v>
      </c>
      <c r="F1221" s="43">
        <f t="shared" ca="1" si="56"/>
        <v>9540</v>
      </c>
    </row>
    <row r="1222" spans="1:6" ht="22.5" x14ac:dyDescent="0.25">
      <c r="A1222" s="39" t="s">
        <v>127</v>
      </c>
      <c r="B1222" s="40" t="str">
        <f ca="1">IFERROR(INDEX(UNSPSCDes,MATCH(INDIRECT(ADDRESS(ROW(),COLUMN()-1,4)),UNSPSCCode,0)),IF(INDIRECT(ADDRESS(ROW(),COLUMN()-1,4))="44121706","Lápices de madera",""))</f>
        <v>Lápices de madera</v>
      </c>
      <c r="C1222" s="41" t="str">
        <f>IFERROR(VLOOKUP("UD",'[1]Informacion '!P:Q,2,FALSE),"")</f>
        <v>Unidad</v>
      </c>
      <c r="D1222" s="39">
        <v>150</v>
      </c>
      <c r="E1222" s="42">
        <v>85</v>
      </c>
      <c r="F1222" s="43">
        <f t="shared" ca="1" si="56"/>
        <v>12750</v>
      </c>
    </row>
    <row r="1223" spans="1:6" ht="22.5" x14ac:dyDescent="0.25">
      <c r="A1223" s="39" t="s">
        <v>128</v>
      </c>
      <c r="B1223" s="40" t="str">
        <f ca="1">IFERROR(INDEX(UNSPSCDes,MATCH(INDIRECT(ADDRESS(ROW(),COLUMN()-1,4)),UNSPSCCode,0)),IF(INDIRECT(ADDRESS(ROW(),COLUMN()-1,4))="44121619","Tajalápices manuales.",""))</f>
        <v>Tajalápices manuales.</v>
      </c>
      <c r="C1223" s="41" t="str">
        <f>IFERROR(VLOOKUP("UD",'[1]Informacion '!P:Q,2,FALSE),"")</f>
        <v>Unidad</v>
      </c>
      <c r="D1223" s="39">
        <v>100</v>
      </c>
      <c r="E1223" s="42">
        <v>190.8</v>
      </c>
      <c r="F1223" s="43">
        <f t="shared" ca="1" si="56"/>
        <v>19080</v>
      </c>
    </row>
    <row r="1224" spans="1:6" ht="22.5" x14ac:dyDescent="0.25">
      <c r="A1224" s="39" t="s">
        <v>128</v>
      </c>
      <c r="B1224" s="40" t="str">
        <f ca="1">IFERROR(INDEX(UNSPSCDes,MATCH(INDIRECT(ADDRESS(ROW(),COLUMN()-1,4)),UNSPSCCode,0)),IF(INDIRECT(ADDRESS(ROW(),COLUMN()-1,4))="44121619","Tajalápices manuales.",""))</f>
        <v>Tajalápices manuales.</v>
      </c>
      <c r="C1224" s="41" t="str">
        <f>IFERROR(VLOOKUP("UD",'[1]Informacion '!P:Q,2,FALSE),"")</f>
        <v>Unidad</v>
      </c>
      <c r="D1224" s="39">
        <v>144</v>
      </c>
      <c r="E1224" s="42">
        <v>127.3</v>
      </c>
      <c r="F1224" s="43">
        <f t="shared" ca="1" si="56"/>
        <v>18331.2</v>
      </c>
    </row>
    <row r="1225" spans="1:6" ht="22.5" x14ac:dyDescent="0.25">
      <c r="A1225" s="39" t="s">
        <v>128</v>
      </c>
      <c r="B1225" s="40" t="str">
        <f ca="1">IFERROR(INDEX(UNSPSCDes,MATCH(INDIRECT(ADDRESS(ROW(),COLUMN()-1,4)),UNSPSCCode,0)),IF(INDIRECT(ADDRESS(ROW(),COLUMN()-1,4))="44121619","Tajalápices manuales.",""))</f>
        <v>Tajalápices manuales.</v>
      </c>
      <c r="C1225" s="41" t="str">
        <f>IFERROR(VLOOKUP("UD",'[1]Informacion '!P:Q,2,FALSE),"")</f>
        <v>Unidad</v>
      </c>
      <c r="D1225" s="39">
        <v>144</v>
      </c>
      <c r="E1225" s="42">
        <v>127.3</v>
      </c>
      <c r="F1225" s="43">
        <f t="shared" ca="1" si="56"/>
        <v>18331.2</v>
      </c>
    </row>
    <row r="1226" spans="1:6" ht="22.5" x14ac:dyDescent="0.25">
      <c r="A1226" s="39" t="s">
        <v>127</v>
      </c>
      <c r="B1226" s="40" t="str">
        <f ca="1">IFERROR(INDEX(UNSPSCDes,MATCH(INDIRECT(ADDRESS(ROW(),COLUMN()-1,4)),UNSPSCCode,0)),IF(INDIRECT(ADDRESS(ROW(),COLUMN()-1,4))="44121706","Lápices de madera",""))</f>
        <v>Lápices de madera</v>
      </c>
      <c r="C1226" s="41" t="str">
        <f>IFERROR(VLOOKUP("UD",'[1]Informacion '!P:Q,2,FALSE),"")</f>
        <v>Unidad</v>
      </c>
      <c r="D1226" s="39">
        <v>100</v>
      </c>
      <c r="E1226" s="42">
        <v>85</v>
      </c>
      <c r="F1226" s="43">
        <f t="shared" ca="1" si="56"/>
        <v>8500</v>
      </c>
    </row>
    <row r="1227" spans="1:6" x14ac:dyDescent="0.25">
      <c r="A1227" s="39" t="s">
        <v>136</v>
      </c>
      <c r="B1227" s="40" t="str">
        <f ca="1">IFERROR(INDEX(UNSPSCDes,MATCH(INDIRECT(ADDRESS(ROW(),COLUMN()-1,4)),UNSPSCCode,0)),IF(INDIRECT(ADDRESS(ROW(),COLUMN()-1,4))="12171703","Tintas",""))</f>
        <v>Tintas</v>
      </c>
      <c r="C1227" s="41" t="str">
        <f>IFERROR(VLOOKUP("UD",'[1]Informacion '!P:Q,2,FALSE),"")</f>
        <v>Unidad</v>
      </c>
      <c r="D1227" s="39">
        <v>100</v>
      </c>
      <c r="E1227" s="42">
        <v>42</v>
      </c>
      <c r="F1227" s="43">
        <f t="shared" ca="1" si="56"/>
        <v>4200</v>
      </c>
    </row>
    <row r="1228" spans="1:6" x14ac:dyDescent="0.25">
      <c r="A1228" s="39" t="s">
        <v>130</v>
      </c>
      <c r="B1228" s="40" t="str">
        <f ca="1">IFERROR(INDEX(UNSPSCDes,MATCH(INDIRECT(ADDRESS(ROW(),COLUMN()-1,4)),UNSPSCCode,0)),IF(INDIRECT(ADDRESS(ROW(),COLUMN()-1,4))="44121615","Grapadoras",""))</f>
        <v>Grapadoras</v>
      </c>
      <c r="C1228" s="41" t="str">
        <f>IFERROR(VLOOKUP("UD",'[1]Informacion '!P:Q,2,FALSE),"")</f>
        <v>Unidad</v>
      </c>
      <c r="D1228" s="39">
        <v>50</v>
      </c>
      <c r="E1228" s="42">
        <v>250</v>
      </c>
      <c r="F1228" s="43">
        <f t="shared" ca="1" si="56"/>
        <v>12500</v>
      </c>
    </row>
    <row r="1229" spans="1:6" x14ac:dyDescent="0.25">
      <c r="A1229" s="39" t="s">
        <v>120</v>
      </c>
      <c r="B1229" s="40" t="str">
        <f ca="1">IFERROR(INDEX(UNSPSCDes,MATCH(INDIRECT(ADDRESS(ROW(),COLUMN()-1,4)),UNSPSCCode,0)),IF(INDIRECT(ADDRESS(ROW(),COLUMN()-1,4))="44121708","Marcadores",""))</f>
        <v>Marcadores</v>
      </c>
      <c r="C1229" s="41" t="str">
        <f>IFERROR(VLOOKUP("UD",'[1]Informacion '!P:Q,2,FALSE),"")</f>
        <v>Unidad</v>
      </c>
      <c r="D1229" s="39">
        <v>100</v>
      </c>
      <c r="E1229" s="42">
        <v>225</v>
      </c>
      <c r="F1229" s="43">
        <f t="shared" ca="1" si="56"/>
        <v>22500</v>
      </c>
    </row>
    <row r="1230" spans="1:6" ht="33.75" x14ac:dyDescent="0.25">
      <c r="A1230" s="39" t="s">
        <v>131</v>
      </c>
      <c r="B1230" s="40" t="str">
        <f ca="1">IFERROR(INDEX(UNSPSCDes,MATCH(INDIRECT(ADDRESS(ROW(),COLUMN()-1,4)),UNSPSCCode,0)),IF(INDIRECT(ADDRESS(ROW(),COLUMN()-1,4))="14111514","Blocs o cuadernos de papel",""))</f>
        <v>Blocs o cuadernos de papel</v>
      </c>
      <c r="C1230" s="41" t="str">
        <f>IFERROR(VLOOKUP("UD",'[1]Informacion '!P:Q,2,FALSE),"")</f>
        <v>Unidad</v>
      </c>
      <c r="D1230" s="39">
        <v>100</v>
      </c>
      <c r="E1230" s="42">
        <v>126</v>
      </c>
      <c r="F1230" s="43">
        <f t="shared" ca="1" si="56"/>
        <v>12600</v>
      </c>
    </row>
    <row r="1231" spans="1:6" ht="22.5" x14ac:dyDescent="0.25">
      <c r="A1231" s="39" t="s">
        <v>132</v>
      </c>
      <c r="B1231" s="40" t="str">
        <f ca="1">IFERROR(INDEX(UNSPSCDes,MATCH(INDIRECT(ADDRESS(ROW(),COLUMN()-1,4)),UNSPSCCode,0)),IF(INDIRECT(ADDRESS(ROW(),COLUMN()-1,4))="44112005","Libretas de citas o repuestos",""))</f>
        <v>Libretas de citas o repuestos</v>
      </c>
      <c r="C1231" s="41" t="str">
        <f>IFERROR(VLOOKUP("UD",'[1]Informacion '!P:Q,2,FALSE),"")</f>
        <v>Unidad</v>
      </c>
      <c r="D1231" s="39">
        <v>200</v>
      </c>
      <c r="E1231" s="42">
        <v>450</v>
      </c>
      <c r="F1231" s="43">
        <f t="shared" ca="1" si="56"/>
        <v>90000</v>
      </c>
    </row>
    <row r="1232" spans="1:6" ht="33.75" x14ac:dyDescent="0.25">
      <c r="A1232" s="39" t="s">
        <v>133</v>
      </c>
      <c r="B1232" s="40" t="str">
        <f ca="1">IFERROR(INDEX(UNSPSCDes,MATCH(INDIRECT(ADDRESS(ROW(),COLUMN()-1,4)),UNSPSCCode,0)),IF(INDIRECT(ADDRESS(ROW(),COLUMN()-1,4))="44111503","Organizadores o bandejas para el escritorio",""))</f>
        <v>Organizadores o bandejas para el escritorio</v>
      </c>
      <c r="C1232" s="41" t="str">
        <f>IFERROR(VLOOKUP("UD",'[1]Informacion '!P:Q,2,FALSE),"")</f>
        <v>Unidad</v>
      </c>
      <c r="D1232" s="39">
        <v>100</v>
      </c>
      <c r="E1232" s="42">
        <v>608</v>
      </c>
      <c r="F1232" s="43">
        <f t="shared" ca="1" si="56"/>
        <v>60800</v>
      </c>
    </row>
    <row r="1233" spans="1:6" x14ac:dyDescent="0.25">
      <c r="A1233" s="39" t="s">
        <v>134</v>
      </c>
      <c r="B1233" s="40" t="str">
        <f ca="1">IFERROR(INDEX(UNSPSCDes,MATCH(INDIRECT(ADDRESS(ROW(),COLUMN()-1,4)),UNSPSCCode,0)),IF(INDIRECT(ADDRESS(ROW(),COLUMN()-1,4))="44122011","Folders",""))</f>
        <v>Folders</v>
      </c>
      <c r="C1233" s="41" t="str">
        <f>IFERROR(VLOOKUP("UD",'[1]Informacion '!P:Q,2,FALSE),"")</f>
        <v>Unidad</v>
      </c>
      <c r="D1233" s="39">
        <v>50</v>
      </c>
      <c r="E1233" s="42">
        <v>750</v>
      </c>
      <c r="F1233" s="43">
        <f t="shared" ca="1" si="56"/>
        <v>37500</v>
      </c>
    </row>
    <row r="1234" spans="1:6" ht="45" x14ac:dyDescent="0.25">
      <c r="A1234" s="39" t="s">
        <v>135</v>
      </c>
      <c r="B1234" s="40" t="str">
        <f ca="1">IFERROR(INDEX(UNSPSCDes,MATCH(INDIRECT(ADDRESS(ROW(),COLUMN()-1,4)),UNSPSCCode,0)),IF(INDIRECT(ADDRESS(ROW(),COLUMN()-1,4))="44103121","Guías de rollo para impresoras, faxes o fotocopiadoras",""))</f>
        <v>Guías de rollo para impresoras, faxes o fotocopiadoras</v>
      </c>
      <c r="C1234" s="41" t="str">
        <f>IFERROR(VLOOKUP("UD",'[1]Informacion '!P:Q,2,FALSE),"")</f>
        <v>Unidad</v>
      </c>
      <c r="D1234" s="39">
        <v>200</v>
      </c>
      <c r="E1234" s="42">
        <v>37.799999999999997</v>
      </c>
      <c r="F1234" s="43">
        <f t="shared" ca="1" si="56"/>
        <v>7559.9999999999991</v>
      </c>
    </row>
    <row r="1235" spans="1:6" x14ac:dyDescent="0.25">
      <c r="A1235" s="46"/>
      <c r="B1235" s="46"/>
      <c r="C1235" s="46"/>
      <c r="D1235" s="46"/>
      <c r="E1235" s="44" t="s">
        <v>46</v>
      </c>
      <c r="F1235" s="45">
        <f ca="1">SUM(Table40[MONTO TOTAL ESTIMADO])</f>
        <v>539071.60000000009</v>
      </c>
    </row>
    <row r="1236" spans="1:6" ht="15.75" thickBot="1" x14ac:dyDescent="0.3">
      <c r="A1236" s="46"/>
      <c r="B1236" s="46"/>
      <c r="C1236" s="46"/>
      <c r="D1236" s="46"/>
      <c r="E1236" s="46"/>
      <c r="F1236" s="46"/>
    </row>
    <row r="1237" spans="1:6" ht="34.5" thickBot="1" x14ac:dyDescent="0.3">
      <c r="A1237" s="29" t="s">
        <v>18</v>
      </c>
      <c r="B1237" s="29" t="s">
        <v>19</v>
      </c>
      <c r="C1237" s="29" t="s">
        <v>20</v>
      </c>
      <c r="D1237" s="29" t="s">
        <v>21</v>
      </c>
      <c r="E1237" s="29" t="s">
        <v>22</v>
      </c>
      <c r="F1237" s="29" t="s">
        <v>23</v>
      </c>
    </row>
    <row r="1238" spans="1:6" ht="15.75" thickBot="1" x14ac:dyDescent="0.3">
      <c r="A1238" s="30" t="s">
        <v>138</v>
      </c>
      <c r="B1238" s="30" t="s">
        <v>139</v>
      </c>
      <c r="C1238" s="30" t="s">
        <v>26</v>
      </c>
      <c r="D1238" s="30" t="s">
        <v>27</v>
      </c>
      <c r="E1238" s="30" t="s">
        <v>76</v>
      </c>
      <c r="F1238" s="30" t="s">
        <v>17</v>
      </c>
    </row>
    <row r="1239" spans="1:6" ht="15.75" thickBot="1" x14ac:dyDescent="0.3">
      <c r="A1239" s="31" t="s">
        <v>29</v>
      </c>
      <c r="B1239" s="32" t="s">
        <v>30</v>
      </c>
      <c r="C1239" s="33">
        <v>46267</v>
      </c>
      <c r="D1239" s="31" t="s">
        <v>31</v>
      </c>
      <c r="E1239" s="34" t="s">
        <v>32</v>
      </c>
      <c r="F1239" s="35" t="s">
        <v>33</v>
      </c>
    </row>
    <row r="1240" spans="1:6" ht="15.75" thickBot="1" x14ac:dyDescent="0.3">
      <c r="A1240" s="36"/>
      <c r="B1240" s="32" t="s">
        <v>34</v>
      </c>
      <c r="C1240" s="37">
        <f>IF(C1239="","",IF(AND(MONTH(C1239)&gt;=1,MONTH(C1239)&lt;=3),1,IF(AND(MONTH(C1239)&gt;=4,MONTH(C1239)&lt;=6),2,IF(AND(MONTH(C1239)&gt;=7,MONTH(C1239)&lt;=9),3,4))))</f>
        <v>3</v>
      </c>
      <c r="D1240" s="36"/>
      <c r="E1240" s="34" t="s">
        <v>35</v>
      </c>
      <c r="F1240" s="35"/>
    </row>
    <row r="1241" spans="1:6" ht="15.75" thickBot="1" x14ac:dyDescent="0.3">
      <c r="A1241" s="36"/>
      <c r="B1241" s="32" t="s">
        <v>36</v>
      </c>
      <c r="C1241" s="33">
        <v>46271</v>
      </c>
      <c r="D1241" s="36"/>
      <c r="E1241" s="34" t="s">
        <v>37</v>
      </c>
      <c r="F1241" s="35"/>
    </row>
    <row r="1242" spans="1:6" ht="15.75" thickBot="1" x14ac:dyDescent="0.3">
      <c r="A1242" s="36"/>
      <c r="B1242" s="32" t="s">
        <v>34</v>
      </c>
      <c r="C1242" s="37">
        <f>IF(C1241="","",IF(AND(MONTH(C1241)&gt;=1,MONTH(C1241)&lt;=3),1,IF(AND(MONTH(C1241)&gt;=4,MONTH(C1241)&lt;=6),2,IF(AND(MONTH(C1241)&gt;=7,MONTH(C1241)&lt;=9),3,4))))</f>
        <v>3</v>
      </c>
      <c r="D1242" s="36"/>
      <c r="E1242" s="34" t="s">
        <v>38</v>
      </c>
      <c r="F1242" s="35"/>
    </row>
    <row r="1243" spans="1:6" ht="15.75" thickBot="1" x14ac:dyDescent="0.3">
      <c r="A1243" s="46"/>
      <c r="B1243" s="46"/>
      <c r="C1243" s="46"/>
      <c r="D1243" s="46"/>
      <c r="E1243" s="46"/>
      <c r="F1243" s="46"/>
    </row>
    <row r="1244" spans="1:6" ht="15.75" thickBot="1" x14ac:dyDescent="0.3">
      <c r="A1244" s="38" t="s">
        <v>39</v>
      </c>
      <c r="B1244" s="38" t="s">
        <v>40</v>
      </c>
      <c r="C1244" s="38" t="s">
        <v>41</v>
      </c>
      <c r="D1244" s="38" t="s">
        <v>42</v>
      </c>
      <c r="E1244" s="38" t="s">
        <v>43</v>
      </c>
      <c r="F1244" s="38" t="s">
        <v>44</v>
      </c>
    </row>
    <row r="1245" spans="1:6" ht="33.75" x14ac:dyDescent="0.25">
      <c r="A1245" s="39" t="s">
        <v>140</v>
      </c>
      <c r="B1245" s="40" t="str">
        <f t="shared" ref="B1245:B1262" ca="1" si="57">IFERROR(INDEX(UNSPSCDes,MATCH(INDIRECT(ADDRESS(ROW(),COLUMN()-1,4)),UNSPSCCode,0)),IF(INDIRECT(ADDRESS(ROW(),COLUMN()-1,4))="24141704","Instrucciones o insertos impresos",""))</f>
        <v>Instrucciones o insertos impresos</v>
      </c>
      <c r="C1245" s="41" t="str">
        <f>IFERROR(VLOOKUP("UD",'[1]Informacion '!P:Q,2,FALSE),"")</f>
        <v>Unidad</v>
      </c>
      <c r="D1245" s="39">
        <v>500</v>
      </c>
      <c r="E1245" s="42">
        <v>118</v>
      </c>
      <c r="F1245" s="43">
        <f t="shared" ref="F1245:F1262" ca="1" si="58">INDIRECT(ADDRESS(ROW(),COLUMN()-2,4))*INDIRECT(ADDRESS(ROW(),COLUMN()-1,4))</f>
        <v>59000</v>
      </c>
    </row>
    <row r="1246" spans="1:6" ht="33.75" x14ac:dyDescent="0.25">
      <c r="A1246" s="39" t="s">
        <v>140</v>
      </c>
      <c r="B1246" s="40" t="str">
        <f t="shared" ca="1" si="57"/>
        <v>Instrucciones o insertos impresos</v>
      </c>
      <c r="C1246" s="41" t="str">
        <f>IFERROR(VLOOKUP("UD",'[1]Informacion '!P:Q,2,FALSE),"")</f>
        <v>Unidad</v>
      </c>
      <c r="D1246" s="39">
        <v>25</v>
      </c>
      <c r="E1246" s="42">
        <v>800</v>
      </c>
      <c r="F1246" s="43">
        <f t="shared" ca="1" si="58"/>
        <v>20000</v>
      </c>
    </row>
    <row r="1247" spans="1:6" ht="33.75" x14ac:dyDescent="0.25">
      <c r="A1247" s="39" t="s">
        <v>140</v>
      </c>
      <c r="B1247" s="40" t="str">
        <f t="shared" ca="1" si="57"/>
        <v>Instrucciones o insertos impresos</v>
      </c>
      <c r="C1247" s="41" t="str">
        <f>IFERROR(VLOOKUP("RESMA",'[1]Informacion '!P:Q,2,FALSE),"")</f>
        <v>Resma</v>
      </c>
      <c r="D1247" s="39">
        <v>50</v>
      </c>
      <c r="E1247" s="42">
        <v>800</v>
      </c>
      <c r="F1247" s="43">
        <f t="shared" ca="1" si="58"/>
        <v>40000</v>
      </c>
    </row>
    <row r="1248" spans="1:6" ht="33.75" x14ac:dyDescent="0.25">
      <c r="A1248" s="39" t="s">
        <v>140</v>
      </c>
      <c r="B1248" s="40" t="str">
        <f t="shared" ca="1" si="57"/>
        <v>Instrucciones o insertos impresos</v>
      </c>
      <c r="C1248" s="41" t="str">
        <f>IFERROR(VLOOKUP("RESMA",'[1]Informacion '!P:Q,2,FALSE),"")</f>
        <v>Resma</v>
      </c>
      <c r="D1248" s="39">
        <v>50</v>
      </c>
      <c r="E1248" s="42">
        <v>800</v>
      </c>
      <c r="F1248" s="43">
        <f t="shared" ca="1" si="58"/>
        <v>40000</v>
      </c>
    </row>
    <row r="1249" spans="1:6" ht="33.75" x14ac:dyDescent="0.25">
      <c r="A1249" s="39" t="s">
        <v>140</v>
      </c>
      <c r="B1249" s="40" t="str">
        <f t="shared" ca="1" si="57"/>
        <v>Instrucciones o insertos impresos</v>
      </c>
      <c r="C1249" s="41" t="str">
        <f>IFERROR(VLOOKUP("RESMA",'[1]Informacion '!P:Q,2,FALSE),"")</f>
        <v>Resma</v>
      </c>
      <c r="D1249" s="39">
        <v>50</v>
      </c>
      <c r="E1249" s="42">
        <v>800</v>
      </c>
      <c r="F1249" s="43">
        <f t="shared" ca="1" si="58"/>
        <v>40000</v>
      </c>
    </row>
    <row r="1250" spans="1:6" ht="33.75" x14ac:dyDescent="0.25">
      <c r="A1250" s="39" t="s">
        <v>140</v>
      </c>
      <c r="B1250" s="40" t="str">
        <f t="shared" ca="1" si="57"/>
        <v>Instrucciones o insertos impresos</v>
      </c>
      <c r="C1250" s="41" t="str">
        <f>IFERROR(VLOOKUP("UD",'[1]Informacion '!P:Q,2,FALSE),"")</f>
        <v>Unidad</v>
      </c>
      <c r="D1250" s="39">
        <v>100</v>
      </c>
      <c r="E1250" s="42">
        <v>275</v>
      </c>
      <c r="F1250" s="43">
        <f t="shared" ca="1" si="58"/>
        <v>27500</v>
      </c>
    </row>
    <row r="1251" spans="1:6" ht="33.75" x14ac:dyDescent="0.25">
      <c r="A1251" s="39" t="s">
        <v>140</v>
      </c>
      <c r="B1251" s="40" t="str">
        <f t="shared" ca="1" si="57"/>
        <v>Instrucciones o insertos impresos</v>
      </c>
      <c r="C1251" s="41" t="str">
        <f>IFERROR(VLOOKUP("UD",'[1]Informacion '!P:Q,2,FALSE),"")</f>
        <v>Unidad</v>
      </c>
      <c r="D1251" s="39">
        <v>50</v>
      </c>
      <c r="E1251" s="42">
        <v>275</v>
      </c>
      <c r="F1251" s="43">
        <f t="shared" ca="1" si="58"/>
        <v>13750</v>
      </c>
    </row>
    <row r="1252" spans="1:6" ht="33.75" x14ac:dyDescent="0.25">
      <c r="A1252" s="39" t="s">
        <v>140</v>
      </c>
      <c r="B1252" s="40" t="str">
        <f t="shared" ca="1" si="57"/>
        <v>Instrucciones o insertos impresos</v>
      </c>
      <c r="C1252" s="41" t="str">
        <f>IFERROR(VLOOKUP("UD",'[1]Informacion '!P:Q,2,FALSE),"")</f>
        <v>Unidad</v>
      </c>
      <c r="D1252" s="39">
        <v>50</v>
      </c>
      <c r="E1252" s="42">
        <v>160</v>
      </c>
      <c r="F1252" s="43">
        <f t="shared" ca="1" si="58"/>
        <v>8000</v>
      </c>
    </row>
    <row r="1253" spans="1:6" ht="33.75" x14ac:dyDescent="0.25">
      <c r="A1253" s="39" t="s">
        <v>140</v>
      </c>
      <c r="B1253" s="40" t="str">
        <f t="shared" ca="1" si="57"/>
        <v>Instrucciones o insertos impresos</v>
      </c>
      <c r="C1253" s="41" t="str">
        <f>IFERROR(VLOOKUP("UD",'[1]Informacion '!P:Q,2,FALSE),"")</f>
        <v>Unidad</v>
      </c>
      <c r="D1253" s="39">
        <v>50</v>
      </c>
      <c r="E1253" s="42">
        <v>160</v>
      </c>
      <c r="F1253" s="43">
        <f t="shared" ca="1" si="58"/>
        <v>8000</v>
      </c>
    </row>
    <row r="1254" spans="1:6" ht="33.75" x14ac:dyDescent="0.25">
      <c r="A1254" s="39" t="s">
        <v>140</v>
      </c>
      <c r="B1254" s="40" t="str">
        <f t="shared" ca="1" si="57"/>
        <v>Instrucciones o insertos impresos</v>
      </c>
      <c r="C1254" s="41" t="str">
        <f>IFERROR(VLOOKUP("UD",'[1]Informacion '!P:Q,2,FALSE),"")</f>
        <v>Unidad</v>
      </c>
      <c r="D1254" s="39">
        <v>2000</v>
      </c>
      <c r="E1254" s="42">
        <v>65</v>
      </c>
      <c r="F1254" s="43">
        <f t="shared" ca="1" si="58"/>
        <v>130000</v>
      </c>
    </row>
    <row r="1255" spans="1:6" ht="33.75" x14ac:dyDescent="0.25">
      <c r="A1255" s="39" t="s">
        <v>140</v>
      </c>
      <c r="B1255" s="40" t="str">
        <f t="shared" ca="1" si="57"/>
        <v>Instrucciones o insertos impresos</v>
      </c>
      <c r="C1255" s="41" t="str">
        <f>IFERROR(VLOOKUP("UD",'[1]Informacion '!P:Q,2,FALSE),"")</f>
        <v>Unidad</v>
      </c>
      <c r="D1255" s="39">
        <v>6</v>
      </c>
      <c r="E1255" s="42">
        <v>2000</v>
      </c>
      <c r="F1255" s="43">
        <f t="shared" ca="1" si="58"/>
        <v>12000</v>
      </c>
    </row>
    <row r="1256" spans="1:6" ht="33.75" x14ac:dyDescent="0.25">
      <c r="A1256" s="39" t="s">
        <v>140</v>
      </c>
      <c r="B1256" s="40" t="str">
        <f t="shared" ca="1" si="57"/>
        <v>Instrucciones o insertos impresos</v>
      </c>
      <c r="C1256" s="41" t="str">
        <f>IFERROR(VLOOKUP("UD",'[1]Informacion '!P:Q,2,FALSE),"")</f>
        <v>Unidad</v>
      </c>
      <c r="D1256" s="39">
        <v>6</v>
      </c>
      <c r="E1256" s="42">
        <v>2000</v>
      </c>
      <c r="F1256" s="43">
        <f t="shared" ca="1" si="58"/>
        <v>12000</v>
      </c>
    </row>
    <row r="1257" spans="1:6" ht="33.75" x14ac:dyDescent="0.25">
      <c r="A1257" s="39" t="s">
        <v>140</v>
      </c>
      <c r="B1257" s="40" t="str">
        <f t="shared" ca="1" si="57"/>
        <v>Instrucciones o insertos impresos</v>
      </c>
      <c r="C1257" s="41" t="str">
        <f>IFERROR(VLOOKUP("UD",'[1]Informacion '!P:Q,2,FALSE),"")</f>
        <v>Unidad</v>
      </c>
      <c r="D1257" s="39">
        <v>6</v>
      </c>
      <c r="E1257" s="42">
        <v>2000</v>
      </c>
      <c r="F1257" s="43">
        <f t="shared" ca="1" si="58"/>
        <v>12000</v>
      </c>
    </row>
    <row r="1258" spans="1:6" ht="33.75" x14ac:dyDescent="0.25">
      <c r="A1258" s="39" t="s">
        <v>140</v>
      </c>
      <c r="B1258" s="40" t="str">
        <f t="shared" ca="1" si="57"/>
        <v>Instrucciones o insertos impresos</v>
      </c>
      <c r="C1258" s="41" t="str">
        <f>IFERROR(VLOOKUP("UD",'[1]Informacion '!P:Q,2,FALSE),"")</f>
        <v>Unidad</v>
      </c>
      <c r="D1258" s="39">
        <v>30000</v>
      </c>
      <c r="E1258" s="42">
        <v>2.9</v>
      </c>
      <c r="F1258" s="43">
        <f t="shared" ca="1" si="58"/>
        <v>87000</v>
      </c>
    </row>
    <row r="1259" spans="1:6" ht="33.75" x14ac:dyDescent="0.25">
      <c r="A1259" s="39" t="s">
        <v>140</v>
      </c>
      <c r="B1259" s="40" t="str">
        <f t="shared" ca="1" si="57"/>
        <v>Instrucciones o insertos impresos</v>
      </c>
      <c r="C1259" s="41" t="str">
        <f>IFERROR(VLOOKUP("UD",'[1]Informacion '!P:Q,2,FALSE),"")</f>
        <v>Unidad</v>
      </c>
      <c r="D1259" s="39">
        <v>5000</v>
      </c>
      <c r="E1259" s="42">
        <v>3</v>
      </c>
      <c r="F1259" s="43">
        <f t="shared" ca="1" si="58"/>
        <v>15000</v>
      </c>
    </row>
    <row r="1260" spans="1:6" ht="33.75" x14ac:dyDescent="0.25">
      <c r="A1260" s="39" t="s">
        <v>140</v>
      </c>
      <c r="B1260" s="40" t="str">
        <f t="shared" ca="1" si="57"/>
        <v>Instrucciones o insertos impresos</v>
      </c>
      <c r="C1260" s="41" t="str">
        <f>IFERROR(VLOOKUP("RESMA",'[1]Informacion '!P:Q,2,FALSE),"")</f>
        <v>Resma</v>
      </c>
      <c r="D1260" s="39">
        <v>100</v>
      </c>
      <c r="E1260" s="42">
        <v>1115</v>
      </c>
      <c r="F1260" s="43">
        <f t="shared" ca="1" si="58"/>
        <v>111500</v>
      </c>
    </row>
    <row r="1261" spans="1:6" ht="33.75" x14ac:dyDescent="0.25">
      <c r="A1261" s="39" t="s">
        <v>140</v>
      </c>
      <c r="B1261" s="40" t="str">
        <f t="shared" ca="1" si="57"/>
        <v>Instrucciones o insertos impresos</v>
      </c>
      <c r="C1261" s="41" t="str">
        <f>IFERROR(VLOOKUP("UD",'[1]Informacion '!P:Q,2,FALSE),"")</f>
        <v>Unidad</v>
      </c>
      <c r="D1261" s="39">
        <v>100</v>
      </c>
      <c r="E1261" s="42">
        <v>2.6</v>
      </c>
      <c r="F1261" s="43">
        <f t="shared" ca="1" si="58"/>
        <v>260</v>
      </c>
    </row>
    <row r="1262" spans="1:6" ht="33.75" x14ac:dyDescent="0.25">
      <c r="A1262" s="39" t="s">
        <v>140</v>
      </c>
      <c r="B1262" s="40" t="str">
        <f t="shared" ca="1" si="57"/>
        <v>Instrucciones o insertos impresos</v>
      </c>
      <c r="C1262" s="41" t="str">
        <f>IFERROR(VLOOKUP("UD",'[1]Informacion '!P:Q,2,FALSE),"")</f>
        <v>Unidad</v>
      </c>
      <c r="D1262" s="39">
        <v>25000</v>
      </c>
      <c r="E1262" s="42">
        <v>2.6</v>
      </c>
      <c r="F1262" s="43">
        <f t="shared" ca="1" si="58"/>
        <v>65000</v>
      </c>
    </row>
    <row r="1263" spans="1:6" x14ac:dyDescent="0.25">
      <c r="A1263" s="46"/>
      <c r="B1263" s="46"/>
      <c r="C1263" s="46"/>
      <c r="D1263" s="46"/>
      <c r="E1263" s="44" t="s">
        <v>46</v>
      </c>
      <c r="F1263" s="45">
        <f ca="1">SUM(Table41[MONTO TOTAL ESTIMADO])</f>
        <v>701010</v>
      </c>
    </row>
    <row r="1264" spans="1:6" ht="15.75" thickBot="1" x14ac:dyDescent="0.3">
      <c r="A1264" s="46"/>
      <c r="B1264" s="46"/>
      <c r="C1264" s="46"/>
      <c r="D1264" s="46"/>
      <c r="E1264" s="46"/>
      <c r="F1264" s="46"/>
    </row>
    <row r="1265" spans="1:6" ht="34.5" thickBot="1" x14ac:dyDescent="0.3">
      <c r="A1265" s="29" t="s">
        <v>18</v>
      </c>
      <c r="B1265" s="29" t="s">
        <v>19</v>
      </c>
      <c r="C1265" s="29" t="s">
        <v>20</v>
      </c>
      <c r="D1265" s="29" t="s">
        <v>21</v>
      </c>
      <c r="E1265" s="29" t="s">
        <v>22</v>
      </c>
      <c r="F1265" s="29" t="s">
        <v>23</v>
      </c>
    </row>
    <row r="1266" spans="1:6" ht="15.75" thickBot="1" x14ac:dyDescent="0.3">
      <c r="A1266" s="30" t="s">
        <v>141</v>
      </c>
      <c r="B1266" s="30" t="s">
        <v>142</v>
      </c>
      <c r="C1266" s="30" t="s">
        <v>26</v>
      </c>
      <c r="D1266" s="30" t="s">
        <v>27</v>
      </c>
      <c r="E1266" s="30" t="s">
        <v>28</v>
      </c>
      <c r="F1266" s="30" t="s">
        <v>17</v>
      </c>
    </row>
    <row r="1267" spans="1:6" ht="15.75" thickBot="1" x14ac:dyDescent="0.3">
      <c r="A1267" s="31" t="s">
        <v>29</v>
      </c>
      <c r="B1267" s="32" t="s">
        <v>30</v>
      </c>
      <c r="C1267" s="33">
        <v>46235</v>
      </c>
      <c r="D1267" s="31" t="s">
        <v>31</v>
      </c>
      <c r="E1267" s="34" t="s">
        <v>32</v>
      </c>
      <c r="F1267" s="35" t="s">
        <v>33</v>
      </c>
    </row>
    <row r="1268" spans="1:6" ht="15.75" thickBot="1" x14ac:dyDescent="0.3">
      <c r="A1268" s="36"/>
      <c r="B1268" s="32" t="s">
        <v>34</v>
      </c>
      <c r="C1268" s="37">
        <f>IF(C1267="","",IF(AND(MONTH(C1267)&gt;=1,MONTH(C1267)&lt;=3),1,IF(AND(MONTH(C1267)&gt;=4,MONTH(C1267)&lt;=6),2,IF(AND(MONTH(C1267)&gt;=7,MONTH(C1267)&lt;=9),3,4))))</f>
        <v>3</v>
      </c>
      <c r="D1268" s="36"/>
      <c r="E1268" s="34" t="s">
        <v>35</v>
      </c>
      <c r="F1268" s="35"/>
    </row>
    <row r="1269" spans="1:6" ht="15.75" thickBot="1" x14ac:dyDescent="0.3">
      <c r="A1269" s="36"/>
      <c r="B1269" s="32" t="s">
        <v>36</v>
      </c>
      <c r="C1269" s="33">
        <v>46239</v>
      </c>
      <c r="D1269" s="36"/>
      <c r="E1269" s="34" t="s">
        <v>37</v>
      </c>
      <c r="F1269" s="35"/>
    </row>
    <row r="1270" spans="1:6" ht="15.75" thickBot="1" x14ac:dyDescent="0.3">
      <c r="A1270" s="36"/>
      <c r="B1270" s="32" t="s">
        <v>34</v>
      </c>
      <c r="C1270" s="37">
        <f>IF(C1269="","",IF(AND(MONTH(C1269)&gt;=1,MONTH(C1269)&lt;=3),1,IF(AND(MONTH(C1269)&gt;=4,MONTH(C1269)&lt;=6),2,IF(AND(MONTH(C1269)&gt;=7,MONTH(C1269)&lt;=9),3,4))))</f>
        <v>3</v>
      </c>
      <c r="D1270" s="36"/>
      <c r="E1270" s="34" t="s">
        <v>38</v>
      </c>
      <c r="F1270" s="35"/>
    </row>
    <row r="1271" spans="1:6" ht="15.75" thickBot="1" x14ac:dyDescent="0.3">
      <c r="A1271" s="46"/>
      <c r="B1271" s="46"/>
      <c r="C1271" s="46"/>
      <c r="D1271" s="46"/>
      <c r="E1271" s="46"/>
      <c r="F1271" s="46"/>
    </row>
    <row r="1272" spans="1:6" ht="15.75" thickBot="1" x14ac:dyDescent="0.3">
      <c r="A1272" s="38" t="s">
        <v>39</v>
      </c>
      <c r="B1272" s="38" t="s">
        <v>40</v>
      </c>
      <c r="C1272" s="38" t="s">
        <v>41</v>
      </c>
      <c r="D1272" s="38" t="s">
        <v>42</v>
      </c>
      <c r="E1272" s="38" t="s">
        <v>43</v>
      </c>
      <c r="F1272" s="38" t="s">
        <v>44</v>
      </c>
    </row>
    <row r="1273" spans="1:6" ht="22.5" x14ac:dyDescent="0.25">
      <c r="A1273" s="39" t="s">
        <v>143</v>
      </c>
      <c r="B1273" s="40" t="str">
        <f t="shared" ref="B1273:B1280" ca="1" si="59">IFERROR(INDEX(UNSPSCDes,MATCH(INDIRECT(ADDRESS(ROW(),COLUMN()-1,4)),UNSPSCCode,0)),IF(INDIRECT(ADDRESS(ROW(),COLUMN()-1,4))="47121701","Bolsas de basura",""))</f>
        <v>Bolsas de basura</v>
      </c>
      <c r="C1273" s="41" t="str">
        <f>IFERROR(VLOOKUP("UD",'[1]Informacion '!P:Q,2,FALSE),"")</f>
        <v>Unidad</v>
      </c>
      <c r="D1273" s="39">
        <v>280</v>
      </c>
      <c r="E1273" s="42">
        <v>650</v>
      </c>
      <c r="F1273" s="43">
        <f t="shared" ref="F1273:F1280" ca="1" si="60">INDIRECT(ADDRESS(ROW(),COLUMN()-2,4))*INDIRECT(ADDRESS(ROW(),COLUMN()-1,4))</f>
        <v>182000</v>
      </c>
    </row>
    <row r="1274" spans="1:6" ht="22.5" x14ac:dyDescent="0.25">
      <c r="A1274" s="39" t="s">
        <v>143</v>
      </c>
      <c r="B1274" s="40" t="str">
        <f t="shared" ca="1" si="59"/>
        <v>Bolsas de basura</v>
      </c>
      <c r="C1274" s="41" t="str">
        <f>IFERROR(VLOOKUP("UD",'[1]Informacion '!P:Q,2,FALSE),"")</f>
        <v>Unidad</v>
      </c>
      <c r="D1274" s="39">
        <v>240</v>
      </c>
      <c r="E1274" s="42">
        <v>1090</v>
      </c>
      <c r="F1274" s="43">
        <f t="shared" ca="1" si="60"/>
        <v>261600</v>
      </c>
    </row>
    <row r="1275" spans="1:6" ht="22.5" x14ac:dyDescent="0.25">
      <c r="A1275" s="39" t="s">
        <v>143</v>
      </c>
      <c r="B1275" s="40" t="str">
        <f t="shared" ca="1" si="59"/>
        <v>Bolsas de basura</v>
      </c>
      <c r="C1275" s="41" t="str">
        <f>IFERROR(VLOOKUP("UD",'[1]Informacion '!P:Q,2,FALSE),"")</f>
        <v>Unidad</v>
      </c>
      <c r="D1275" s="39">
        <v>180</v>
      </c>
      <c r="E1275" s="42">
        <v>400</v>
      </c>
      <c r="F1275" s="43">
        <f t="shared" ca="1" si="60"/>
        <v>72000</v>
      </c>
    </row>
    <row r="1276" spans="1:6" ht="22.5" x14ac:dyDescent="0.25">
      <c r="A1276" s="39" t="s">
        <v>143</v>
      </c>
      <c r="B1276" s="40" t="str">
        <f t="shared" ca="1" si="59"/>
        <v>Bolsas de basura</v>
      </c>
      <c r="C1276" s="41" t="str">
        <f>IFERROR(VLOOKUP("UD",'[1]Informacion '!P:Q,2,FALSE),"")</f>
        <v>Unidad</v>
      </c>
      <c r="D1276" s="39">
        <v>200</v>
      </c>
      <c r="E1276" s="42">
        <v>650</v>
      </c>
      <c r="F1276" s="43">
        <f t="shared" ca="1" si="60"/>
        <v>130000</v>
      </c>
    </row>
    <row r="1277" spans="1:6" ht="22.5" x14ac:dyDescent="0.25">
      <c r="A1277" s="39" t="s">
        <v>143</v>
      </c>
      <c r="B1277" s="40" t="str">
        <f t="shared" ca="1" si="59"/>
        <v>Bolsas de basura</v>
      </c>
      <c r="C1277" s="41" t="str">
        <f>IFERROR(VLOOKUP("UD",'[1]Informacion '!P:Q,2,FALSE),"")</f>
        <v>Unidad</v>
      </c>
      <c r="D1277" s="39">
        <v>120</v>
      </c>
      <c r="E1277" s="42">
        <v>250</v>
      </c>
      <c r="F1277" s="43">
        <f t="shared" ca="1" si="60"/>
        <v>30000</v>
      </c>
    </row>
    <row r="1278" spans="1:6" ht="22.5" x14ac:dyDescent="0.25">
      <c r="A1278" s="39" t="s">
        <v>143</v>
      </c>
      <c r="B1278" s="40" t="str">
        <f t="shared" ca="1" si="59"/>
        <v>Bolsas de basura</v>
      </c>
      <c r="C1278" s="41" t="str">
        <f>IFERROR(VLOOKUP("UD",'[1]Informacion '!P:Q,2,FALSE),"")</f>
        <v>Unidad</v>
      </c>
      <c r="D1278" s="39">
        <v>200</v>
      </c>
      <c r="E1278" s="42">
        <v>280</v>
      </c>
      <c r="F1278" s="43">
        <f t="shared" ca="1" si="60"/>
        <v>56000</v>
      </c>
    </row>
    <row r="1279" spans="1:6" ht="22.5" x14ac:dyDescent="0.25">
      <c r="A1279" s="39" t="s">
        <v>143</v>
      </c>
      <c r="B1279" s="40" t="str">
        <f t="shared" ca="1" si="59"/>
        <v>Bolsas de basura</v>
      </c>
      <c r="C1279" s="41" t="str">
        <f>IFERROR(VLOOKUP("UD",'[1]Informacion '!P:Q,2,FALSE),"")</f>
        <v>Unidad</v>
      </c>
      <c r="D1279" s="39">
        <v>100</v>
      </c>
      <c r="E1279" s="42">
        <v>25</v>
      </c>
      <c r="F1279" s="43">
        <f t="shared" ca="1" si="60"/>
        <v>2500</v>
      </c>
    </row>
    <row r="1280" spans="1:6" ht="22.5" x14ac:dyDescent="0.25">
      <c r="A1280" s="39" t="s">
        <v>143</v>
      </c>
      <c r="B1280" s="40" t="str">
        <f t="shared" ca="1" si="59"/>
        <v>Bolsas de basura</v>
      </c>
      <c r="C1280" s="41" t="str">
        <f>IFERROR(VLOOKUP("UD",'[1]Informacion '!P:Q,2,FALSE),"")</f>
        <v>Unidad</v>
      </c>
      <c r="D1280" s="39">
        <v>100</v>
      </c>
      <c r="E1280" s="42">
        <v>1040</v>
      </c>
      <c r="F1280" s="43">
        <f t="shared" ca="1" si="60"/>
        <v>104000</v>
      </c>
    </row>
    <row r="1281" spans="1:6" x14ac:dyDescent="0.25">
      <c r="A1281" s="46"/>
      <c r="B1281" s="46"/>
      <c r="C1281" s="46"/>
      <c r="D1281" s="46"/>
      <c r="E1281" s="44" t="s">
        <v>46</v>
      </c>
      <c r="F1281" s="45">
        <f ca="1">SUM(Table42[MONTO TOTAL ESTIMADO])</f>
        <v>838100</v>
      </c>
    </row>
    <row r="1282" spans="1:6" ht="15.75" thickBot="1" x14ac:dyDescent="0.3">
      <c r="A1282" s="46"/>
      <c r="B1282" s="46"/>
      <c r="C1282" s="46"/>
      <c r="D1282" s="46"/>
      <c r="E1282" s="46"/>
      <c r="F1282" s="46"/>
    </row>
    <row r="1283" spans="1:6" ht="34.5" thickBot="1" x14ac:dyDescent="0.3">
      <c r="A1283" s="29" t="s">
        <v>18</v>
      </c>
      <c r="B1283" s="29" t="s">
        <v>19</v>
      </c>
      <c r="C1283" s="29" t="s">
        <v>20</v>
      </c>
      <c r="D1283" s="29" t="s">
        <v>21</v>
      </c>
      <c r="E1283" s="29" t="s">
        <v>22</v>
      </c>
      <c r="F1283" s="29" t="s">
        <v>23</v>
      </c>
    </row>
    <row r="1284" spans="1:6" ht="15.75" thickBot="1" x14ac:dyDescent="0.3">
      <c r="A1284" s="30" t="s">
        <v>141</v>
      </c>
      <c r="B1284" s="30" t="s">
        <v>142</v>
      </c>
      <c r="C1284" s="30" t="s">
        <v>26</v>
      </c>
      <c r="D1284" s="30" t="s">
        <v>27</v>
      </c>
      <c r="E1284" s="30" t="s">
        <v>28</v>
      </c>
      <c r="F1284" s="30" t="s">
        <v>17</v>
      </c>
    </row>
    <row r="1285" spans="1:6" ht="15.75" thickBot="1" x14ac:dyDescent="0.3">
      <c r="A1285" s="31" t="s">
        <v>29</v>
      </c>
      <c r="B1285" s="32" t="s">
        <v>30</v>
      </c>
      <c r="C1285" s="33">
        <v>46327</v>
      </c>
      <c r="D1285" s="31" t="s">
        <v>31</v>
      </c>
      <c r="E1285" s="34" t="s">
        <v>32</v>
      </c>
      <c r="F1285" s="35" t="s">
        <v>33</v>
      </c>
    </row>
    <row r="1286" spans="1:6" ht="15.75" thickBot="1" x14ac:dyDescent="0.3">
      <c r="A1286" s="36"/>
      <c r="B1286" s="32" t="s">
        <v>34</v>
      </c>
      <c r="C1286" s="37">
        <f>IF(C1285="","",IF(AND(MONTH(C1285)&gt;=1,MONTH(C1285)&lt;=3),1,IF(AND(MONTH(C1285)&gt;=4,MONTH(C1285)&lt;=6),2,IF(AND(MONTH(C1285)&gt;=7,MONTH(C1285)&lt;=9),3,4))))</f>
        <v>4</v>
      </c>
      <c r="D1286" s="36"/>
      <c r="E1286" s="34" t="s">
        <v>35</v>
      </c>
      <c r="F1286" s="35"/>
    </row>
    <row r="1287" spans="1:6" ht="15.75" thickBot="1" x14ac:dyDescent="0.3">
      <c r="A1287" s="36"/>
      <c r="B1287" s="32" t="s">
        <v>36</v>
      </c>
      <c r="C1287" s="33">
        <v>46331</v>
      </c>
      <c r="D1287" s="36"/>
      <c r="E1287" s="34" t="s">
        <v>37</v>
      </c>
      <c r="F1287" s="35"/>
    </row>
    <row r="1288" spans="1:6" ht="15.75" thickBot="1" x14ac:dyDescent="0.3">
      <c r="A1288" s="36"/>
      <c r="B1288" s="32" t="s">
        <v>34</v>
      </c>
      <c r="C1288" s="37">
        <f>IF(C1287="","",IF(AND(MONTH(C1287)&gt;=1,MONTH(C1287)&lt;=3),1,IF(AND(MONTH(C1287)&gt;=4,MONTH(C1287)&lt;=6),2,IF(AND(MONTH(C1287)&gt;=7,MONTH(C1287)&lt;=9),3,4))))</f>
        <v>4</v>
      </c>
      <c r="D1288" s="36"/>
      <c r="E1288" s="34" t="s">
        <v>38</v>
      </c>
      <c r="F1288" s="35"/>
    </row>
    <row r="1289" spans="1:6" ht="15.75" thickBot="1" x14ac:dyDescent="0.3">
      <c r="A1289" s="46"/>
      <c r="B1289" s="46"/>
      <c r="C1289" s="46"/>
      <c r="D1289" s="46"/>
      <c r="E1289" s="46"/>
      <c r="F1289" s="46"/>
    </row>
    <row r="1290" spans="1:6" ht="15.75" thickBot="1" x14ac:dyDescent="0.3">
      <c r="A1290" s="38" t="s">
        <v>39</v>
      </c>
      <c r="B1290" s="38" t="s">
        <v>40</v>
      </c>
      <c r="C1290" s="38" t="s">
        <v>41</v>
      </c>
      <c r="D1290" s="38" t="s">
        <v>42</v>
      </c>
      <c r="E1290" s="38" t="s">
        <v>43</v>
      </c>
      <c r="F1290" s="38" t="s">
        <v>44</v>
      </c>
    </row>
    <row r="1291" spans="1:6" ht="22.5" x14ac:dyDescent="0.25">
      <c r="A1291" s="39" t="s">
        <v>143</v>
      </c>
      <c r="B1291" s="40" t="str">
        <f t="shared" ref="B1291:B1298" ca="1" si="61">IFERROR(INDEX(UNSPSCDes,MATCH(INDIRECT(ADDRESS(ROW(),COLUMN()-1,4)),UNSPSCCode,0)),IF(INDIRECT(ADDRESS(ROW(),COLUMN()-1,4))="47121701","Bolsas de basura",""))</f>
        <v>Bolsas de basura</v>
      </c>
      <c r="C1291" s="41" t="str">
        <f>IFERROR(VLOOKUP("UD",'[1]Informacion '!P:Q,2,FALSE),"")</f>
        <v>Unidad</v>
      </c>
      <c r="D1291" s="39">
        <v>280</v>
      </c>
      <c r="E1291" s="42">
        <v>650</v>
      </c>
      <c r="F1291" s="43">
        <f t="shared" ref="F1291:F1298" ca="1" si="62">INDIRECT(ADDRESS(ROW(),COLUMN()-2,4))*INDIRECT(ADDRESS(ROW(),COLUMN()-1,4))</f>
        <v>182000</v>
      </c>
    </row>
    <row r="1292" spans="1:6" ht="22.5" x14ac:dyDescent="0.25">
      <c r="A1292" s="39" t="s">
        <v>143</v>
      </c>
      <c r="B1292" s="40" t="str">
        <f t="shared" ca="1" si="61"/>
        <v>Bolsas de basura</v>
      </c>
      <c r="C1292" s="41" t="str">
        <f>IFERROR(VLOOKUP("UD",'[1]Informacion '!P:Q,2,FALSE),"")</f>
        <v>Unidad</v>
      </c>
      <c r="D1292" s="39">
        <v>240</v>
      </c>
      <c r="E1292" s="42">
        <v>1090</v>
      </c>
      <c r="F1292" s="43">
        <f t="shared" ca="1" si="62"/>
        <v>261600</v>
      </c>
    </row>
    <row r="1293" spans="1:6" ht="22.5" x14ac:dyDescent="0.25">
      <c r="A1293" s="39" t="s">
        <v>143</v>
      </c>
      <c r="B1293" s="40" t="str">
        <f t="shared" ca="1" si="61"/>
        <v>Bolsas de basura</v>
      </c>
      <c r="C1293" s="41" t="str">
        <f>IFERROR(VLOOKUP("UD",'[1]Informacion '!P:Q,2,FALSE),"")</f>
        <v>Unidad</v>
      </c>
      <c r="D1293" s="39">
        <v>180</v>
      </c>
      <c r="E1293" s="42">
        <v>400</v>
      </c>
      <c r="F1293" s="43">
        <f t="shared" ca="1" si="62"/>
        <v>72000</v>
      </c>
    </row>
    <row r="1294" spans="1:6" ht="22.5" x14ac:dyDescent="0.25">
      <c r="A1294" s="39" t="s">
        <v>143</v>
      </c>
      <c r="B1294" s="40" t="str">
        <f t="shared" ca="1" si="61"/>
        <v>Bolsas de basura</v>
      </c>
      <c r="C1294" s="41" t="str">
        <f>IFERROR(VLOOKUP("UD",'[1]Informacion '!P:Q,2,FALSE),"")</f>
        <v>Unidad</v>
      </c>
      <c r="D1294" s="39">
        <v>200</v>
      </c>
      <c r="E1294" s="42">
        <v>650</v>
      </c>
      <c r="F1294" s="43">
        <f t="shared" ca="1" si="62"/>
        <v>130000</v>
      </c>
    </row>
    <row r="1295" spans="1:6" ht="22.5" x14ac:dyDescent="0.25">
      <c r="A1295" s="39" t="s">
        <v>143</v>
      </c>
      <c r="B1295" s="40" t="str">
        <f t="shared" ca="1" si="61"/>
        <v>Bolsas de basura</v>
      </c>
      <c r="C1295" s="41" t="str">
        <f>IFERROR(VLOOKUP("UD",'[1]Informacion '!P:Q,2,FALSE),"")</f>
        <v>Unidad</v>
      </c>
      <c r="D1295" s="39">
        <v>120</v>
      </c>
      <c r="E1295" s="42">
        <v>250</v>
      </c>
      <c r="F1295" s="43">
        <f t="shared" ca="1" si="62"/>
        <v>30000</v>
      </c>
    </row>
    <row r="1296" spans="1:6" ht="22.5" x14ac:dyDescent="0.25">
      <c r="A1296" s="39" t="s">
        <v>143</v>
      </c>
      <c r="B1296" s="40" t="str">
        <f t="shared" ca="1" si="61"/>
        <v>Bolsas de basura</v>
      </c>
      <c r="C1296" s="41" t="str">
        <f>IFERROR(VLOOKUP("UD",'[1]Informacion '!P:Q,2,FALSE),"")</f>
        <v>Unidad</v>
      </c>
      <c r="D1296" s="39">
        <v>200</v>
      </c>
      <c r="E1296" s="42">
        <v>280</v>
      </c>
      <c r="F1296" s="43">
        <f t="shared" ca="1" si="62"/>
        <v>56000</v>
      </c>
    </row>
    <row r="1297" spans="1:6" ht="22.5" x14ac:dyDescent="0.25">
      <c r="A1297" s="39" t="s">
        <v>143</v>
      </c>
      <c r="B1297" s="40" t="str">
        <f t="shared" ca="1" si="61"/>
        <v>Bolsas de basura</v>
      </c>
      <c r="C1297" s="41" t="str">
        <f>IFERROR(VLOOKUP("UD",'[1]Informacion '!P:Q,2,FALSE),"")</f>
        <v>Unidad</v>
      </c>
      <c r="D1297" s="39">
        <v>100</v>
      </c>
      <c r="E1297" s="42">
        <v>25</v>
      </c>
      <c r="F1297" s="43">
        <f t="shared" ca="1" si="62"/>
        <v>2500</v>
      </c>
    </row>
    <row r="1298" spans="1:6" ht="22.5" x14ac:dyDescent="0.25">
      <c r="A1298" s="39" t="s">
        <v>143</v>
      </c>
      <c r="B1298" s="40" t="str">
        <f t="shared" ca="1" si="61"/>
        <v>Bolsas de basura</v>
      </c>
      <c r="C1298" s="41" t="str">
        <f>IFERROR(VLOOKUP("UD",'[1]Informacion '!P:Q,2,FALSE),"")</f>
        <v>Unidad</v>
      </c>
      <c r="D1298" s="39">
        <v>100</v>
      </c>
      <c r="E1298" s="42">
        <v>1040</v>
      </c>
      <c r="F1298" s="43">
        <f t="shared" ca="1" si="62"/>
        <v>104000</v>
      </c>
    </row>
    <row r="1299" spans="1:6" x14ac:dyDescent="0.25">
      <c r="A1299" s="46"/>
      <c r="B1299" s="46"/>
      <c r="C1299" s="46"/>
      <c r="D1299" s="46"/>
      <c r="E1299" s="44" t="s">
        <v>46</v>
      </c>
      <c r="F1299" s="45">
        <f ca="1">SUM(Table43[MONTO TOTAL ESTIMADO])</f>
        <v>838100</v>
      </c>
    </row>
    <row r="1300" spans="1:6" ht="15.75" thickBot="1" x14ac:dyDescent="0.3">
      <c r="A1300" s="46"/>
      <c r="B1300" s="46"/>
      <c r="C1300" s="46"/>
      <c r="D1300" s="46"/>
      <c r="E1300" s="46"/>
      <c r="F1300" s="46"/>
    </row>
    <row r="1301" spans="1:6" ht="34.5" thickBot="1" x14ac:dyDescent="0.3">
      <c r="A1301" s="29" t="s">
        <v>18</v>
      </c>
      <c r="B1301" s="29" t="s">
        <v>19</v>
      </c>
      <c r="C1301" s="29" t="s">
        <v>20</v>
      </c>
      <c r="D1301" s="29" t="s">
        <v>21</v>
      </c>
      <c r="E1301" s="29" t="s">
        <v>22</v>
      </c>
      <c r="F1301" s="29" t="s">
        <v>23</v>
      </c>
    </row>
    <row r="1302" spans="1:6" ht="15.75" thickBot="1" x14ac:dyDescent="0.3">
      <c r="A1302" s="30" t="s">
        <v>144</v>
      </c>
      <c r="B1302" s="30" t="s">
        <v>145</v>
      </c>
      <c r="C1302" s="30" t="s">
        <v>26</v>
      </c>
      <c r="D1302" s="30" t="s">
        <v>27</v>
      </c>
      <c r="E1302" s="30" t="s">
        <v>28</v>
      </c>
      <c r="F1302" s="30" t="s">
        <v>17</v>
      </c>
    </row>
    <row r="1303" spans="1:6" ht="15.75" thickBot="1" x14ac:dyDescent="0.3">
      <c r="A1303" s="31" t="s">
        <v>29</v>
      </c>
      <c r="B1303" s="32" t="s">
        <v>30</v>
      </c>
      <c r="C1303" s="33">
        <v>46267</v>
      </c>
      <c r="D1303" s="31" t="s">
        <v>31</v>
      </c>
      <c r="E1303" s="34" t="s">
        <v>32</v>
      </c>
      <c r="F1303" s="35" t="s">
        <v>33</v>
      </c>
    </row>
    <row r="1304" spans="1:6" ht="15.75" thickBot="1" x14ac:dyDescent="0.3">
      <c r="A1304" s="36"/>
      <c r="B1304" s="32" t="s">
        <v>34</v>
      </c>
      <c r="C1304" s="37">
        <f>IF(C1303="","",IF(AND(MONTH(C1303)&gt;=1,MONTH(C1303)&lt;=3),1,IF(AND(MONTH(C1303)&gt;=4,MONTH(C1303)&lt;=6),2,IF(AND(MONTH(C1303)&gt;=7,MONTH(C1303)&lt;=9),3,4))))</f>
        <v>3</v>
      </c>
      <c r="D1304" s="36"/>
      <c r="E1304" s="34" t="s">
        <v>35</v>
      </c>
      <c r="F1304" s="35"/>
    </row>
    <row r="1305" spans="1:6" ht="15.75" thickBot="1" x14ac:dyDescent="0.3">
      <c r="A1305" s="36"/>
      <c r="B1305" s="32" t="s">
        <v>36</v>
      </c>
      <c r="C1305" s="33">
        <v>46270</v>
      </c>
      <c r="D1305" s="36"/>
      <c r="E1305" s="34" t="s">
        <v>37</v>
      </c>
      <c r="F1305" s="35"/>
    </row>
    <row r="1306" spans="1:6" ht="15.75" thickBot="1" x14ac:dyDescent="0.3">
      <c r="A1306" s="36"/>
      <c r="B1306" s="32" t="s">
        <v>34</v>
      </c>
      <c r="C1306" s="37">
        <f>IF(C1305="","",IF(AND(MONTH(C1305)&gt;=1,MONTH(C1305)&lt;=3),1,IF(AND(MONTH(C1305)&gt;=4,MONTH(C1305)&lt;=6),2,IF(AND(MONTH(C1305)&gt;=7,MONTH(C1305)&lt;=9),3,4))))</f>
        <v>3</v>
      </c>
      <c r="D1306" s="36"/>
      <c r="E1306" s="34" t="s">
        <v>38</v>
      </c>
      <c r="F1306" s="35"/>
    </row>
    <row r="1307" spans="1:6" ht="15.75" thickBot="1" x14ac:dyDescent="0.3">
      <c r="A1307" s="46"/>
      <c r="B1307" s="46"/>
      <c r="C1307" s="46"/>
      <c r="D1307" s="46"/>
      <c r="E1307" s="46"/>
      <c r="F1307" s="46"/>
    </row>
    <row r="1308" spans="1:6" ht="15.75" thickBot="1" x14ac:dyDescent="0.3">
      <c r="A1308" s="38" t="s">
        <v>39</v>
      </c>
      <c r="B1308" s="38" t="s">
        <v>40</v>
      </c>
      <c r="C1308" s="38" t="s">
        <v>41</v>
      </c>
      <c r="D1308" s="38" t="s">
        <v>42</v>
      </c>
      <c r="E1308" s="38" t="s">
        <v>43</v>
      </c>
      <c r="F1308" s="38" t="s">
        <v>44</v>
      </c>
    </row>
    <row r="1309" spans="1:6" ht="22.5" x14ac:dyDescent="0.25">
      <c r="A1309" s="39" t="s">
        <v>146</v>
      </c>
      <c r="B1309" s="40" t="str">
        <f ca="1">IFERROR(INDEX(UNSPSCDes,MATCH(INDIRECT(ADDRESS(ROW(),COLUMN()-1,4)),UNSPSCCode,0)),IF(INDIRECT(ADDRESS(ROW(),COLUMN()-1,4))="41121502","Diluidores de laboratorio",""))</f>
        <v>Diluidores de laboratorio</v>
      </c>
      <c r="C1309" s="41" t="str">
        <f>IFERROR(VLOOKUP("GAL",'[1]Informacion '!P:Q,2,FALSE),"")</f>
        <v>Galón</v>
      </c>
      <c r="D1309" s="39">
        <v>100</v>
      </c>
      <c r="E1309" s="42">
        <v>2190</v>
      </c>
      <c r="F1309" s="43">
        <f t="shared" ref="F1309:F1314" ca="1" si="63">INDIRECT(ADDRESS(ROW(),COLUMN()-2,4))*INDIRECT(ADDRESS(ROW(),COLUMN()-1,4))</f>
        <v>219000</v>
      </c>
    </row>
    <row r="1310" spans="1:6" ht="22.5" x14ac:dyDescent="0.25">
      <c r="A1310" s="39" t="s">
        <v>146</v>
      </c>
      <c r="B1310" s="40" t="str">
        <f ca="1">IFERROR(INDEX(UNSPSCDes,MATCH(INDIRECT(ADDRESS(ROW(),COLUMN()-1,4)),UNSPSCCode,0)),IF(INDIRECT(ADDRESS(ROW(),COLUMN()-1,4))="41121502","Diluidores de laboratorio",""))</f>
        <v>Diluidores de laboratorio</v>
      </c>
      <c r="C1310" s="41" t="str">
        <f>IFERROR(VLOOKUP("GAL",'[1]Informacion '!P:Q,2,FALSE),"")</f>
        <v>Galón</v>
      </c>
      <c r="D1310" s="39">
        <v>40</v>
      </c>
      <c r="E1310" s="42">
        <v>990</v>
      </c>
      <c r="F1310" s="43">
        <f t="shared" ca="1" si="63"/>
        <v>39600</v>
      </c>
    </row>
    <row r="1311" spans="1:6" ht="33.75" x14ac:dyDescent="0.25">
      <c r="A1311" s="39" t="s">
        <v>147</v>
      </c>
      <c r="B1311" s="40" t="str">
        <f ca="1">IFERROR(INDEX(UNSPSCDes,MATCH(INDIRECT(ADDRESS(ROW(),COLUMN()-1,4)),UNSPSCCode,0)),IF(INDIRECT(ADDRESS(ROW(),COLUMN()-1,4))="41122601","Portaobjetos para microscopios",""))</f>
        <v>Portaobjetos para microscopios</v>
      </c>
      <c r="C1311" s="41" t="str">
        <f>IFERROR(VLOOKUP("CAJ",'[1]Informacion '!P:Q,2,FALSE),"")</f>
        <v>Caja</v>
      </c>
      <c r="D1311" s="39">
        <v>400</v>
      </c>
      <c r="E1311" s="42">
        <v>250</v>
      </c>
      <c r="F1311" s="43">
        <f t="shared" ca="1" si="63"/>
        <v>100000</v>
      </c>
    </row>
    <row r="1312" spans="1:6" ht="22.5" x14ac:dyDescent="0.25">
      <c r="A1312" s="39" t="s">
        <v>146</v>
      </c>
      <c r="B1312" s="40" t="str">
        <f ca="1">IFERROR(INDEX(UNSPSCDes,MATCH(INDIRECT(ADDRESS(ROW(),COLUMN()-1,4)),UNSPSCCode,0)),IF(INDIRECT(ADDRESS(ROW(),COLUMN()-1,4))="41121502","Diluidores de laboratorio",""))</f>
        <v>Diluidores de laboratorio</v>
      </c>
      <c r="C1312" s="41" t="str">
        <f>IFERROR(VLOOKUP("GAL",'[1]Informacion '!P:Q,2,FALSE),"")</f>
        <v>Galón</v>
      </c>
      <c r="D1312" s="39">
        <v>20</v>
      </c>
      <c r="E1312" s="42">
        <v>2190</v>
      </c>
      <c r="F1312" s="43">
        <f t="shared" ca="1" si="63"/>
        <v>43800</v>
      </c>
    </row>
    <row r="1313" spans="1:6" ht="22.5" x14ac:dyDescent="0.25">
      <c r="A1313" s="39" t="s">
        <v>146</v>
      </c>
      <c r="B1313" s="40" t="str">
        <f ca="1">IFERROR(INDEX(UNSPSCDes,MATCH(INDIRECT(ADDRESS(ROW(),COLUMN()-1,4)),UNSPSCCode,0)),IF(INDIRECT(ADDRESS(ROW(),COLUMN()-1,4))="41121502","Diluidores de laboratorio",""))</f>
        <v>Diluidores de laboratorio</v>
      </c>
      <c r="C1313" s="41" t="str">
        <f>IFERROR(VLOOKUP("CAJ",'[1]Informacion '!P:Q,2,FALSE),"")</f>
        <v>Caja</v>
      </c>
      <c r="D1313" s="39">
        <v>20</v>
      </c>
      <c r="E1313" s="42">
        <v>13755</v>
      </c>
      <c r="F1313" s="43">
        <f t="shared" ca="1" si="63"/>
        <v>275100</v>
      </c>
    </row>
    <row r="1314" spans="1:6" ht="33.75" x14ac:dyDescent="0.25">
      <c r="A1314" s="39" t="s">
        <v>148</v>
      </c>
      <c r="B1314" s="40" t="str">
        <f ca="1">IFERROR(INDEX(UNSPSCDes,MATCH(INDIRECT(ADDRESS(ROW(),COLUMN()-1,4)),UNSPSCCode,0)),IF(INDIRECT(ADDRESS(ROW(),COLUMN()-1,4))="22101703","Cuchillas o dientes u otros filos cortantes",""))</f>
        <v>Cuchillas o dientes u otros filos cortantes</v>
      </c>
      <c r="C1314" s="41" t="str">
        <f>IFERROR(VLOOKUP("CAJ",'[1]Informacion '!P:Q,2,FALSE),"")</f>
        <v>Caja</v>
      </c>
      <c r="D1314" s="39">
        <v>60</v>
      </c>
      <c r="E1314" s="42">
        <v>6026</v>
      </c>
      <c r="F1314" s="43">
        <f t="shared" ca="1" si="63"/>
        <v>361560</v>
      </c>
    </row>
    <row r="1315" spans="1:6" x14ac:dyDescent="0.25">
      <c r="A1315" s="46"/>
      <c r="B1315" s="46"/>
      <c r="C1315" s="46"/>
      <c r="D1315" s="46"/>
      <c r="E1315" s="44" t="s">
        <v>46</v>
      </c>
      <c r="F1315" s="45">
        <f ca="1">SUM(Table44[MONTO TOTAL ESTIMADO])</f>
        <v>1039060</v>
      </c>
    </row>
    <row r="1316" spans="1:6" ht="15.75" thickBot="1" x14ac:dyDescent="0.3">
      <c r="A1316" s="46"/>
      <c r="B1316" s="46"/>
      <c r="C1316" s="46"/>
      <c r="D1316" s="46"/>
      <c r="E1316" s="46"/>
      <c r="F1316" s="46"/>
    </row>
    <row r="1317" spans="1:6" ht="34.5" thickBot="1" x14ac:dyDescent="0.3">
      <c r="A1317" s="29" t="s">
        <v>18</v>
      </c>
      <c r="B1317" s="29" t="s">
        <v>19</v>
      </c>
      <c r="C1317" s="29" t="s">
        <v>20</v>
      </c>
      <c r="D1317" s="29" t="s">
        <v>21</v>
      </c>
      <c r="E1317" s="29" t="s">
        <v>22</v>
      </c>
      <c r="F1317" s="29" t="s">
        <v>23</v>
      </c>
    </row>
    <row r="1318" spans="1:6" ht="15.75" thickBot="1" x14ac:dyDescent="0.3">
      <c r="A1318" s="30" t="s">
        <v>149</v>
      </c>
      <c r="B1318" s="30" t="s">
        <v>101</v>
      </c>
      <c r="C1318" s="30" t="s">
        <v>26</v>
      </c>
      <c r="D1318" s="30" t="s">
        <v>27</v>
      </c>
      <c r="E1318" s="30" t="s">
        <v>28</v>
      </c>
      <c r="F1318" s="30" t="s">
        <v>17</v>
      </c>
    </row>
    <row r="1319" spans="1:6" ht="15.75" thickBot="1" x14ac:dyDescent="0.3">
      <c r="A1319" s="31" t="s">
        <v>29</v>
      </c>
      <c r="B1319" s="32" t="s">
        <v>30</v>
      </c>
      <c r="C1319" s="33">
        <v>46235</v>
      </c>
      <c r="D1319" s="31" t="s">
        <v>31</v>
      </c>
      <c r="E1319" s="34" t="s">
        <v>32</v>
      </c>
      <c r="F1319" s="35" t="s">
        <v>33</v>
      </c>
    </row>
    <row r="1320" spans="1:6" ht="15.75" thickBot="1" x14ac:dyDescent="0.3">
      <c r="A1320" s="36"/>
      <c r="B1320" s="32" t="s">
        <v>34</v>
      </c>
      <c r="C1320" s="37">
        <f>IF(C1319="","",IF(AND(MONTH(C1319)&gt;=1,MONTH(C1319)&lt;=3),1,IF(AND(MONTH(C1319)&gt;=4,MONTH(C1319)&lt;=6),2,IF(AND(MONTH(C1319)&gt;=7,MONTH(C1319)&lt;=9),3,4))))</f>
        <v>3</v>
      </c>
      <c r="D1320" s="36"/>
      <c r="E1320" s="34" t="s">
        <v>35</v>
      </c>
      <c r="F1320" s="35"/>
    </row>
    <row r="1321" spans="1:6" ht="15.75" thickBot="1" x14ac:dyDescent="0.3">
      <c r="A1321" s="36"/>
      <c r="B1321" s="32" t="s">
        <v>36</v>
      </c>
      <c r="C1321" s="33">
        <v>46240</v>
      </c>
      <c r="D1321" s="36"/>
      <c r="E1321" s="34" t="s">
        <v>37</v>
      </c>
      <c r="F1321" s="35"/>
    </row>
    <row r="1322" spans="1:6" ht="15.75" thickBot="1" x14ac:dyDescent="0.3">
      <c r="A1322" s="36"/>
      <c r="B1322" s="32" t="s">
        <v>34</v>
      </c>
      <c r="C1322" s="37">
        <f>IF(C1321="","",IF(AND(MONTH(C1321)&gt;=1,MONTH(C1321)&lt;=3),1,IF(AND(MONTH(C1321)&gt;=4,MONTH(C1321)&lt;=6),2,IF(AND(MONTH(C1321)&gt;=7,MONTH(C1321)&lt;=9),3,4))))</f>
        <v>3</v>
      </c>
      <c r="D1322" s="36"/>
      <c r="E1322" s="34" t="s">
        <v>38</v>
      </c>
      <c r="F1322" s="35"/>
    </row>
    <row r="1323" spans="1:6" ht="15.75" thickBot="1" x14ac:dyDescent="0.3">
      <c r="A1323" s="46"/>
      <c r="B1323" s="46"/>
      <c r="C1323" s="46"/>
      <c r="D1323" s="46"/>
      <c r="E1323" s="46"/>
      <c r="F1323" s="46"/>
    </row>
    <row r="1324" spans="1:6" ht="15.75" thickBot="1" x14ac:dyDescent="0.3">
      <c r="A1324" s="38" t="s">
        <v>39</v>
      </c>
      <c r="B1324" s="38" t="s">
        <v>40</v>
      </c>
      <c r="C1324" s="38" t="s">
        <v>41</v>
      </c>
      <c r="D1324" s="38" t="s">
        <v>42</v>
      </c>
      <c r="E1324" s="38" t="s">
        <v>43</v>
      </c>
      <c r="F1324" s="38" t="s">
        <v>44</v>
      </c>
    </row>
    <row r="1325" spans="1:6" ht="22.5" x14ac:dyDescent="0.25">
      <c r="A1325" s="39" t="s">
        <v>150</v>
      </c>
      <c r="B1325" s="40" t="str">
        <f ca="1">IFERROR(INDEX(UNSPSCDes,MATCH(INDIRECT(ADDRESS(ROW(),COLUMN()-1,4)),UNSPSCCode,0)),IF(INDIRECT(ADDRESS(ROW(),COLUMN()-1,4))="43201601","Carcasas de computadoras",""))</f>
        <v>Carcasas de computadoras</v>
      </c>
      <c r="C1325" s="41" t="str">
        <f>IFERROR(VLOOKUP("UD",'[1]Informacion '!P:Q,2,FALSE),"")</f>
        <v>Unidad</v>
      </c>
      <c r="D1325" s="39">
        <v>10</v>
      </c>
      <c r="E1325" s="42">
        <v>50000</v>
      </c>
      <c r="F1325" s="43">
        <f ca="1">INDIRECT(ADDRESS(ROW(),COLUMN()-2,4))*INDIRECT(ADDRESS(ROW(),COLUMN()-1,4))</f>
        <v>500000</v>
      </c>
    </row>
    <row r="1326" spans="1:6" ht="45" x14ac:dyDescent="0.25">
      <c r="A1326" s="39" t="s">
        <v>151</v>
      </c>
      <c r="B1326" s="40" t="str">
        <f ca="1">IFERROR(INDEX(UNSPSCDes,MATCH(INDIRECT(ADDRESS(ROW(),COLUMN()-1,4)),UNSPSCCode,0)),IF(INDIRECT(ADDRESS(ROW(),COLUMN()-1,4))="43201503","Procesadores de unidad de procesamiento central cpu",""))</f>
        <v>Procesadores de unidad de procesamiento central cpu</v>
      </c>
      <c r="C1326" s="41" t="str">
        <f>IFERROR(VLOOKUP("UD",'[1]Informacion '!P:Q,2,FALSE),"")</f>
        <v>Unidad</v>
      </c>
      <c r="D1326" s="39">
        <v>10</v>
      </c>
      <c r="E1326" s="42">
        <v>6500</v>
      </c>
      <c r="F1326" s="43">
        <f ca="1">INDIRECT(ADDRESS(ROW(),COLUMN()-2,4))*INDIRECT(ADDRESS(ROW(),COLUMN()-1,4))</f>
        <v>65000</v>
      </c>
    </row>
    <row r="1327" spans="1:6" x14ac:dyDescent="0.25">
      <c r="A1327" s="46"/>
      <c r="B1327" s="46"/>
      <c r="C1327" s="46"/>
      <c r="D1327" s="46"/>
      <c r="E1327" s="44" t="s">
        <v>46</v>
      </c>
      <c r="F1327" s="45">
        <f ca="1">SUM(Table45[MONTO TOTAL ESTIMADO])</f>
        <v>565000</v>
      </c>
    </row>
    <row r="1328" spans="1:6" ht="15.75" thickBot="1" x14ac:dyDescent="0.3">
      <c r="A1328" s="46"/>
      <c r="B1328" s="46"/>
      <c r="C1328" s="46"/>
      <c r="D1328" s="46"/>
      <c r="E1328" s="46"/>
      <c r="F1328" s="46"/>
    </row>
    <row r="1329" spans="1:6" ht="34.5" thickBot="1" x14ac:dyDescent="0.3">
      <c r="A1329" s="29" t="s">
        <v>18</v>
      </c>
      <c r="B1329" s="29" t="s">
        <v>19</v>
      </c>
      <c r="C1329" s="29" t="s">
        <v>20</v>
      </c>
      <c r="D1329" s="29" t="s">
        <v>21</v>
      </c>
      <c r="E1329" s="29" t="s">
        <v>22</v>
      </c>
      <c r="F1329" s="29" t="s">
        <v>23</v>
      </c>
    </row>
    <row r="1330" spans="1:6" ht="15.75" thickBot="1" x14ac:dyDescent="0.3">
      <c r="A1330" s="30" t="s">
        <v>152</v>
      </c>
      <c r="B1330" s="30" t="s">
        <v>153</v>
      </c>
      <c r="C1330" s="30" t="s">
        <v>26</v>
      </c>
      <c r="D1330" s="30" t="s">
        <v>154</v>
      </c>
      <c r="E1330" s="30" t="s">
        <v>28</v>
      </c>
      <c r="F1330" s="30" t="s">
        <v>17</v>
      </c>
    </row>
    <row r="1331" spans="1:6" ht="15.75" thickBot="1" x14ac:dyDescent="0.3">
      <c r="A1331" s="31" t="s">
        <v>29</v>
      </c>
      <c r="B1331" s="32" t="s">
        <v>30</v>
      </c>
      <c r="C1331" s="33">
        <v>46327</v>
      </c>
      <c r="D1331" s="31" t="s">
        <v>31</v>
      </c>
      <c r="E1331" s="34" t="s">
        <v>32</v>
      </c>
      <c r="F1331" s="35" t="s">
        <v>33</v>
      </c>
    </row>
    <row r="1332" spans="1:6" ht="15.75" thickBot="1" x14ac:dyDescent="0.3">
      <c r="A1332" s="36"/>
      <c r="B1332" s="32" t="s">
        <v>34</v>
      </c>
      <c r="C1332" s="37">
        <f>IF(C1331="","",IF(AND(MONTH(C1331)&gt;=1,MONTH(C1331)&lt;=3),1,IF(AND(MONTH(C1331)&gt;=4,MONTH(C1331)&lt;=6),2,IF(AND(MONTH(C1331)&gt;=7,MONTH(C1331)&lt;=9),3,4))))</f>
        <v>4</v>
      </c>
      <c r="D1332" s="36"/>
      <c r="E1332" s="34" t="s">
        <v>35</v>
      </c>
      <c r="F1332" s="35"/>
    </row>
    <row r="1333" spans="1:6" ht="15.75" thickBot="1" x14ac:dyDescent="0.3">
      <c r="A1333" s="36"/>
      <c r="B1333" s="32" t="s">
        <v>36</v>
      </c>
      <c r="C1333" s="33">
        <v>46332</v>
      </c>
      <c r="D1333" s="36"/>
      <c r="E1333" s="34" t="s">
        <v>37</v>
      </c>
      <c r="F1333" s="35"/>
    </row>
    <row r="1334" spans="1:6" ht="15.75" thickBot="1" x14ac:dyDescent="0.3">
      <c r="A1334" s="36"/>
      <c r="B1334" s="32" t="s">
        <v>34</v>
      </c>
      <c r="C1334" s="37">
        <f>IF(C1333="","",IF(AND(MONTH(C1333)&gt;=1,MONTH(C1333)&lt;=3),1,IF(AND(MONTH(C1333)&gt;=4,MONTH(C1333)&lt;=6),2,IF(AND(MONTH(C1333)&gt;=7,MONTH(C1333)&lt;=9),3,4))))</f>
        <v>4</v>
      </c>
      <c r="D1334" s="36"/>
      <c r="E1334" s="34" t="s">
        <v>38</v>
      </c>
      <c r="F1334" s="35"/>
    </row>
    <row r="1335" spans="1:6" ht="15.75" thickBot="1" x14ac:dyDescent="0.3">
      <c r="A1335" s="46"/>
      <c r="B1335" s="46"/>
      <c r="C1335" s="46"/>
      <c r="D1335" s="46"/>
      <c r="E1335" s="46"/>
      <c r="F1335" s="46"/>
    </row>
    <row r="1336" spans="1:6" ht="15.75" thickBot="1" x14ac:dyDescent="0.3">
      <c r="A1336" s="38" t="s">
        <v>39</v>
      </c>
      <c r="B1336" s="38" t="s">
        <v>40</v>
      </c>
      <c r="C1336" s="38" t="s">
        <v>41</v>
      </c>
      <c r="D1336" s="38" t="s">
        <v>42</v>
      </c>
      <c r="E1336" s="38" t="s">
        <v>43</v>
      </c>
      <c r="F1336" s="38" t="s">
        <v>44</v>
      </c>
    </row>
    <row r="1337" spans="1:6" x14ac:dyDescent="0.25">
      <c r="A1337" s="39" t="s">
        <v>155</v>
      </c>
      <c r="B1337" s="40" t="str">
        <f ca="1">IFERROR(INDEX(UNSPSCDes,MATCH(INDIRECT(ADDRESS(ROW(),COLUMN()-1,4)),UNSPSCCode,0)),IF(INDIRECT(ADDRESS(ROW(),COLUMN()-1,4))="44101501","Fotocopiadoras",""))</f>
        <v>Fotocopiadoras</v>
      </c>
      <c r="C1337" s="41" t="str">
        <f>IFERROR(VLOOKUP("UD",'[1]Informacion '!P:Q,2,FALSE),"")</f>
        <v>Unidad</v>
      </c>
      <c r="D1337" s="39">
        <v>1</v>
      </c>
      <c r="E1337" s="42">
        <v>4000000</v>
      </c>
      <c r="F1337" s="43">
        <f ca="1">INDIRECT(ADDRESS(ROW(),COLUMN()-2,4))*INDIRECT(ADDRESS(ROW(),COLUMN()-1,4))</f>
        <v>4000000</v>
      </c>
    </row>
    <row r="1338" spans="1:6" x14ac:dyDescent="0.25">
      <c r="A1338" s="46"/>
      <c r="B1338" s="46"/>
      <c r="C1338" s="46"/>
      <c r="D1338" s="46"/>
      <c r="E1338" s="44" t="s">
        <v>46</v>
      </c>
      <c r="F1338" s="45">
        <f ca="1">SUM(Table46[MONTO TOTAL ESTIMADO])</f>
        <v>4000000</v>
      </c>
    </row>
    <row r="1339" spans="1:6" ht="15.75" thickBot="1" x14ac:dyDescent="0.3">
      <c r="A1339" s="46"/>
      <c r="B1339" s="46"/>
      <c r="C1339" s="46"/>
      <c r="D1339" s="46"/>
      <c r="E1339" s="46"/>
      <c r="F1339" s="46"/>
    </row>
    <row r="1340" spans="1:6" ht="34.5" thickBot="1" x14ac:dyDescent="0.3">
      <c r="A1340" s="29" t="s">
        <v>18</v>
      </c>
      <c r="B1340" s="29" t="s">
        <v>19</v>
      </c>
      <c r="C1340" s="29" t="s">
        <v>20</v>
      </c>
      <c r="D1340" s="29" t="s">
        <v>21</v>
      </c>
      <c r="E1340" s="29" t="s">
        <v>22</v>
      </c>
      <c r="F1340" s="29" t="s">
        <v>23</v>
      </c>
    </row>
    <row r="1341" spans="1:6" ht="15.75" thickBot="1" x14ac:dyDescent="0.3">
      <c r="A1341" s="30" t="s">
        <v>156</v>
      </c>
      <c r="B1341" s="30" t="s">
        <v>157</v>
      </c>
      <c r="C1341" s="30" t="s">
        <v>26</v>
      </c>
      <c r="D1341" s="30" t="s">
        <v>27</v>
      </c>
      <c r="E1341" s="30" t="s">
        <v>28</v>
      </c>
      <c r="F1341" s="30" t="s">
        <v>17</v>
      </c>
    </row>
    <row r="1342" spans="1:6" ht="15.75" thickBot="1" x14ac:dyDescent="0.3">
      <c r="A1342" s="31" t="s">
        <v>29</v>
      </c>
      <c r="B1342" s="32" t="s">
        <v>30</v>
      </c>
      <c r="C1342" s="33">
        <v>46235</v>
      </c>
      <c r="D1342" s="31" t="s">
        <v>31</v>
      </c>
      <c r="E1342" s="34" t="s">
        <v>32</v>
      </c>
      <c r="F1342" s="35" t="s">
        <v>33</v>
      </c>
    </row>
    <row r="1343" spans="1:6" ht="15.75" thickBot="1" x14ac:dyDescent="0.3">
      <c r="A1343" s="36"/>
      <c r="B1343" s="32" t="s">
        <v>34</v>
      </c>
      <c r="C1343" s="37">
        <f>IF(C1342="","",IF(AND(MONTH(C1342)&gt;=1,MONTH(C1342)&lt;=3),1,IF(AND(MONTH(C1342)&gt;=4,MONTH(C1342)&lt;=6),2,IF(AND(MONTH(C1342)&gt;=7,MONTH(C1342)&lt;=9),3,4))))</f>
        <v>3</v>
      </c>
      <c r="D1343" s="36"/>
      <c r="E1343" s="34" t="s">
        <v>35</v>
      </c>
      <c r="F1343" s="35"/>
    </row>
    <row r="1344" spans="1:6" ht="15.75" thickBot="1" x14ac:dyDescent="0.3">
      <c r="A1344" s="36"/>
      <c r="B1344" s="32" t="s">
        <v>36</v>
      </c>
      <c r="C1344" s="33">
        <v>46240</v>
      </c>
      <c r="D1344" s="36"/>
      <c r="E1344" s="34" t="s">
        <v>37</v>
      </c>
      <c r="F1344" s="35"/>
    </row>
    <row r="1345" spans="1:6" ht="15.75" thickBot="1" x14ac:dyDescent="0.3">
      <c r="A1345" s="36"/>
      <c r="B1345" s="32" t="s">
        <v>34</v>
      </c>
      <c r="C1345" s="37">
        <f>IF(C1344="","",IF(AND(MONTH(C1344)&gt;=1,MONTH(C1344)&lt;=3),1,IF(AND(MONTH(C1344)&gt;=4,MONTH(C1344)&lt;=6),2,IF(AND(MONTH(C1344)&gt;=7,MONTH(C1344)&lt;=9),3,4))))</f>
        <v>3</v>
      </c>
      <c r="D1345" s="36"/>
      <c r="E1345" s="34" t="s">
        <v>38</v>
      </c>
      <c r="F1345" s="35"/>
    </row>
    <row r="1346" spans="1:6" ht="15.75" thickBot="1" x14ac:dyDescent="0.3">
      <c r="A1346" s="46"/>
      <c r="B1346" s="46"/>
      <c r="C1346" s="46"/>
      <c r="D1346" s="46"/>
      <c r="E1346" s="46"/>
      <c r="F1346" s="46"/>
    </row>
    <row r="1347" spans="1:6" ht="15.75" thickBot="1" x14ac:dyDescent="0.3">
      <c r="A1347" s="38" t="s">
        <v>39</v>
      </c>
      <c r="B1347" s="38" t="s">
        <v>40</v>
      </c>
      <c r="C1347" s="38" t="s">
        <v>41</v>
      </c>
      <c r="D1347" s="38" t="s">
        <v>42</v>
      </c>
      <c r="E1347" s="38" t="s">
        <v>43</v>
      </c>
      <c r="F1347" s="38" t="s">
        <v>44</v>
      </c>
    </row>
    <row r="1348" spans="1:6" x14ac:dyDescent="0.25">
      <c r="A1348" s="39" t="s">
        <v>158</v>
      </c>
      <c r="B1348" s="40" t="str">
        <f ca="1">IFERROR(INDEX(UNSPSCDes,MATCH(INDIRECT(ADDRESS(ROW(),COLUMN()-1,4)),UNSPSCCode,0)),IF(INDIRECT(ADDRESS(ROW(),COLUMN()-1,4))="51191702","Lactato de sodio",""))</f>
        <v>Lactato de sodio</v>
      </c>
      <c r="C1348" s="41" t="str">
        <f>IFERROR(VLOOKUP("UD",'[1]Informacion '!P:Q,2,FALSE),"")</f>
        <v>Unidad</v>
      </c>
      <c r="D1348" s="39">
        <v>17000</v>
      </c>
      <c r="E1348" s="42">
        <v>83.34</v>
      </c>
      <c r="F1348" s="43">
        <f ca="1">INDIRECT(ADDRESS(ROW(),COLUMN()-2,4))*INDIRECT(ADDRESS(ROW(),COLUMN()-1,4))</f>
        <v>1416780</v>
      </c>
    </row>
    <row r="1349" spans="1:6" x14ac:dyDescent="0.25">
      <c r="A1349" s="46"/>
      <c r="B1349" s="46"/>
      <c r="C1349" s="46"/>
      <c r="D1349" s="46"/>
      <c r="E1349" s="44" t="s">
        <v>46</v>
      </c>
      <c r="F1349" s="45">
        <f ca="1">SUM(Table47[MONTO TOTAL ESTIMADO])</f>
        <v>1416780</v>
      </c>
    </row>
    <row r="1350" spans="1:6" ht="15.75" thickBot="1" x14ac:dyDescent="0.3">
      <c r="A1350" s="46"/>
      <c r="B1350" s="46"/>
      <c r="C1350" s="46"/>
      <c r="D1350" s="46"/>
      <c r="E1350" s="46"/>
      <c r="F1350" s="46"/>
    </row>
    <row r="1351" spans="1:6" ht="34.5" thickBot="1" x14ac:dyDescent="0.3">
      <c r="A1351" s="29" t="s">
        <v>18</v>
      </c>
      <c r="B1351" s="29" t="s">
        <v>19</v>
      </c>
      <c r="C1351" s="29" t="s">
        <v>20</v>
      </c>
      <c r="D1351" s="29" t="s">
        <v>21</v>
      </c>
      <c r="E1351" s="29" t="s">
        <v>22</v>
      </c>
      <c r="F1351" s="29" t="s">
        <v>23</v>
      </c>
    </row>
    <row r="1352" spans="1:6" ht="15.75" thickBot="1" x14ac:dyDescent="0.3">
      <c r="A1352" s="30" t="s">
        <v>156</v>
      </c>
      <c r="B1352" s="30" t="s">
        <v>157</v>
      </c>
      <c r="C1352" s="30" t="s">
        <v>26</v>
      </c>
      <c r="D1352" s="30" t="s">
        <v>27</v>
      </c>
      <c r="E1352" s="30" t="s">
        <v>28</v>
      </c>
      <c r="F1352" s="30" t="s">
        <v>17</v>
      </c>
    </row>
    <row r="1353" spans="1:6" ht="15.75" thickBot="1" x14ac:dyDescent="0.3">
      <c r="A1353" s="31" t="s">
        <v>29</v>
      </c>
      <c r="B1353" s="32" t="s">
        <v>30</v>
      </c>
      <c r="C1353" s="33">
        <v>45962</v>
      </c>
      <c r="D1353" s="31" t="s">
        <v>31</v>
      </c>
      <c r="E1353" s="34" t="s">
        <v>32</v>
      </c>
      <c r="F1353" s="35" t="s">
        <v>33</v>
      </c>
    </row>
    <row r="1354" spans="1:6" ht="15.75" thickBot="1" x14ac:dyDescent="0.3">
      <c r="A1354" s="36"/>
      <c r="B1354" s="32" t="s">
        <v>34</v>
      </c>
      <c r="C1354" s="37">
        <f>IF(C1353="","",IF(AND(MONTH(C1353)&gt;=1,MONTH(C1353)&lt;=3),1,IF(AND(MONTH(C1353)&gt;=4,MONTH(C1353)&lt;=6),2,IF(AND(MONTH(C1353)&gt;=7,MONTH(C1353)&lt;=9),3,4))))</f>
        <v>4</v>
      </c>
      <c r="D1354" s="36"/>
      <c r="E1354" s="34" t="s">
        <v>35</v>
      </c>
      <c r="F1354" s="35"/>
    </row>
    <row r="1355" spans="1:6" ht="15.75" thickBot="1" x14ac:dyDescent="0.3">
      <c r="A1355" s="36"/>
      <c r="B1355" s="32" t="s">
        <v>36</v>
      </c>
      <c r="C1355" s="33">
        <v>45966</v>
      </c>
      <c r="D1355" s="36"/>
      <c r="E1355" s="34" t="s">
        <v>37</v>
      </c>
      <c r="F1355" s="35"/>
    </row>
    <row r="1356" spans="1:6" ht="15.75" thickBot="1" x14ac:dyDescent="0.3">
      <c r="A1356" s="36"/>
      <c r="B1356" s="32" t="s">
        <v>34</v>
      </c>
      <c r="C1356" s="37">
        <f>IF(C1355="","",IF(AND(MONTH(C1355)&gt;=1,MONTH(C1355)&lt;=3),1,IF(AND(MONTH(C1355)&gt;=4,MONTH(C1355)&lt;=6),2,IF(AND(MONTH(C1355)&gt;=7,MONTH(C1355)&lt;=9),3,4))))</f>
        <v>4</v>
      </c>
      <c r="D1356" s="36"/>
      <c r="E1356" s="34" t="s">
        <v>38</v>
      </c>
      <c r="F1356" s="35"/>
    </row>
    <row r="1357" spans="1:6" ht="15.75" thickBot="1" x14ac:dyDescent="0.3">
      <c r="A1357" s="46"/>
      <c r="B1357" s="46"/>
      <c r="C1357" s="46"/>
      <c r="D1357" s="46"/>
      <c r="E1357" s="46"/>
      <c r="F1357" s="46"/>
    </row>
    <row r="1358" spans="1:6" ht="15.75" thickBot="1" x14ac:dyDescent="0.3">
      <c r="A1358" s="38" t="s">
        <v>39</v>
      </c>
      <c r="B1358" s="38" t="s">
        <v>40</v>
      </c>
      <c r="C1358" s="38" t="s">
        <v>41</v>
      </c>
      <c r="D1358" s="38" t="s">
        <v>42</v>
      </c>
      <c r="E1358" s="38" t="s">
        <v>43</v>
      </c>
      <c r="F1358" s="38" t="s">
        <v>44</v>
      </c>
    </row>
    <row r="1359" spans="1:6" x14ac:dyDescent="0.25">
      <c r="A1359" s="39" t="s">
        <v>158</v>
      </c>
      <c r="B1359" s="40" t="str">
        <f ca="1">IFERROR(INDEX(UNSPSCDes,MATCH(INDIRECT(ADDRESS(ROW(),COLUMN()-1,4)),UNSPSCCode,0)),IF(INDIRECT(ADDRESS(ROW(),COLUMN()-1,4))="51191702","Lactato de sodio",""))</f>
        <v>Lactato de sodio</v>
      </c>
      <c r="C1359" s="41" t="str">
        <f>IFERROR(VLOOKUP("UD",'[1]Informacion '!P:Q,2,FALSE),"")</f>
        <v>Unidad</v>
      </c>
      <c r="D1359" s="39">
        <v>17000</v>
      </c>
      <c r="E1359" s="42">
        <v>83.34</v>
      </c>
      <c r="F1359" s="43">
        <f ca="1">INDIRECT(ADDRESS(ROW(),COLUMN()-2,4))*INDIRECT(ADDRESS(ROW(),COLUMN()-1,4))</f>
        <v>1416780</v>
      </c>
    </row>
    <row r="1360" spans="1:6" x14ac:dyDescent="0.25">
      <c r="A1360" s="46"/>
      <c r="B1360" s="46"/>
      <c r="C1360" s="46"/>
      <c r="D1360" s="46"/>
      <c r="E1360" s="44" t="s">
        <v>46</v>
      </c>
      <c r="F1360" s="45">
        <f ca="1">SUM(Table48[MONTO TOTAL ESTIMADO])</f>
        <v>1416780</v>
      </c>
    </row>
    <row r="1361" spans="1:6" ht="15.75" thickBot="1" x14ac:dyDescent="0.3">
      <c r="A1361" s="46"/>
      <c r="B1361" s="46"/>
      <c r="C1361" s="46"/>
      <c r="D1361" s="46"/>
      <c r="E1361" s="46"/>
      <c r="F1361" s="46"/>
    </row>
    <row r="1362" spans="1:6" ht="34.5" thickBot="1" x14ac:dyDescent="0.3">
      <c r="A1362" s="29" t="s">
        <v>18</v>
      </c>
      <c r="B1362" s="29" t="s">
        <v>19</v>
      </c>
      <c r="C1362" s="29" t="s">
        <v>20</v>
      </c>
      <c r="D1362" s="29" t="s">
        <v>21</v>
      </c>
      <c r="E1362" s="29" t="s">
        <v>22</v>
      </c>
      <c r="F1362" s="29" t="s">
        <v>23</v>
      </c>
    </row>
    <row r="1363" spans="1:6" ht="15.75" thickBot="1" x14ac:dyDescent="0.3">
      <c r="A1363" s="30" t="s">
        <v>159</v>
      </c>
      <c r="B1363" s="30" t="s">
        <v>160</v>
      </c>
      <c r="C1363" s="30" t="s">
        <v>161</v>
      </c>
      <c r="D1363" s="30" t="s">
        <v>154</v>
      </c>
      <c r="E1363" s="30" t="s">
        <v>28</v>
      </c>
      <c r="F1363" s="30" t="s">
        <v>17</v>
      </c>
    </row>
    <row r="1364" spans="1:6" ht="15.75" thickBot="1" x14ac:dyDescent="0.3">
      <c r="A1364" s="31" t="s">
        <v>29</v>
      </c>
      <c r="B1364" s="32" t="s">
        <v>30</v>
      </c>
      <c r="C1364" s="33">
        <v>46296</v>
      </c>
      <c r="D1364" s="31" t="s">
        <v>31</v>
      </c>
      <c r="E1364" s="34" t="s">
        <v>32</v>
      </c>
      <c r="F1364" s="35" t="s">
        <v>33</v>
      </c>
    </row>
    <row r="1365" spans="1:6" ht="15.75" thickBot="1" x14ac:dyDescent="0.3">
      <c r="A1365" s="36"/>
      <c r="B1365" s="32" t="s">
        <v>34</v>
      </c>
      <c r="C1365" s="37">
        <f>IF(C1364="","",IF(AND(MONTH(C1364)&gt;=1,MONTH(C1364)&lt;=3),1,IF(AND(MONTH(C1364)&gt;=4,MONTH(C1364)&lt;=6),2,IF(AND(MONTH(C1364)&gt;=7,MONTH(C1364)&lt;=9),3,4))))</f>
        <v>4</v>
      </c>
      <c r="D1365" s="36"/>
      <c r="E1365" s="34" t="s">
        <v>35</v>
      </c>
      <c r="F1365" s="35"/>
    </row>
    <row r="1366" spans="1:6" ht="15.75" thickBot="1" x14ac:dyDescent="0.3">
      <c r="A1366" s="36"/>
      <c r="B1366" s="32" t="s">
        <v>36</v>
      </c>
      <c r="C1366" s="33">
        <v>46316</v>
      </c>
      <c r="D1366" s="36"/>
      <c r="E1366" s="34" t="s">
        <v>37</v>
      </c>
      <c r="F1366" s="35"/>
    </row>
    <row r="1367" spans="1:6" ht="15.75" thickBot="1" x14ac:dyDescent="0.3">
      <c r="A1367" s="36"/>
      <c r="B1367" s="32" t="s">
        <v>34</v>
      </c>
      <c r="C1367" s="37">
        <f>IF(C1366="","",IF(AND(MONTH(C1366)&gt;=1,MONTH(C1366)&lt;=3),1,IF(AND(MONTH(C1366)&gt;=4,MONTH(C1366)&lt;=6),2,IF(AND(MONTH(C1366)&gt;=7,MONTH(C1366)&lt;=9),3,4))))</f>
        <v>4</v>
      </c>
      <c r="D1367" s="36"/>
      <c r="E1367" s="34" t="s">
        <v>38</v>
      </c>
      <c r="F1367" s="35"/>
    </row>
    <row r="1368" spans="1:6" ht="15.75" thickBot="1" x14ac:dyDescent="0.3">
      <c r="A1368" s="46"/>
      <c r="B1368" s="46"/>
      <c r="C1368" s="46"/>
      <c r="D1368" s="46"/>
      <c r="E1368" s="46"/>
      <c r="F1368" s="46"/>
    </row>
    <row r="1369" spans="1:6" ht="15.75" thickBot="1" x14ac:dyDescent="0.3">
      <c r="A1369" s="38" t="s">
        <v>39</v>
      </c>
      <c r="B1369" s="38" t="s">
        <v>40</v>
      </c>
      <c r="C1369" s="38" t="s">
        <v>41</v>
      </c>
      <c r="D1369" s="38" t="s">
        <v>42</v>
      </c>
      <c r="E1369" s="38" t="s">
        <v>43</v>
      </c>
      <c r="F1369" s="38" t="s">
        <v>44</v>
      </c>
    </row>
    <row r="1370" spans="1:6" ht="39.75" customHeight="1" x14ac:dyDescent="0.25">
      <c r="A1370" s="39" t="s">
        <v>162</v>
      </c>
      <c r="B1370" s="40" t="str">
        <f ca="1">IFERROR(INDEX(UNSPSCDes,MATCH(INDIRECT(ADDRESS(ROW(),COLUMN()-1,4)),UNSPSCCode,0)),IF(INDIRECT(ADDRESS(ROW(),COLUMN()-1,4))="76121501","Recolección o destrucción o transformación o eliminación de basuras",""))</f>
        <v>Recolección o destrucción o transformación o eliminación de basuras</v>
      </c>
      <c r="C1370" s="41" t="str">
        <f>IFERROR(VLOOKUP("UD",'[1]Informacion '!P:Q,2,FALSE),"")</f>
        <v>Unidad</v>
      </c>
      <c r="D1370" s="39">
        <v>1</v>
      </c>
      <c r="E1370" s="42">
        <v>6000000</v>
      </c>
      <c r="F1370" s="43">
        <f ca="1">INDIRECT(ADDRESS(ROW(),COLUMN()-2,4))*INDIRECT(ADDRESS(ROW(),COLUMN()-1,4))</f>
        <v>6000000</v>
      </c>
    </row>
    <row r="1371" spans="1:6" x14ac:dyDescent="0.25">
      <c r="A1371" s="46"/>
      <c r="B1371" s="46"/>
      <c r="C1371" s="46"/>
      <c r="D1371" s="46"/>
      <c r="E1371" s="44" t="s">
        <v>46</v>
      </c>
      <c r="F1371" s="45">
        <f ca="1">SUM(Table49[MONTO TOTAL ESTIMADO])</f>
        <v>6000000</v>
      </c>
    </row>
    <row r="1372" spans="1:6" ht="15.75" thickBot="1" x14ac:dyDescent="0.3">
      <c r="A1372" s="46"/>
      <c r="B1372" s="46"/>
      <c r="C1372" s="46"/>
      <c r="D1372" s="46"/>
      <c r="E1372" s="46"/>
      <c r="F1372" s="46"/>
    </row>
    <row r="1373" spans="1:6" ht="34.5" thickBot="1" x14ac:dyDescent="0.3">
      <c r="A1373" s="29" t="s">
        <v>18</v>
      </c>
      <c r="B1373" s="29" t="s">
        <v>19</v>
      </c>
      <c r="C1373" s="29" t="s">
        <v>20</v>
      </c>
      <c r="D1373" s="29" t="s">
        <v>21</v>
      </c>
      <c r="E1373" s="29" t="s">
        <v>22</v>
      </c>
      <c r="F1373" s="29" t="s">
        <v>23</v>
      </c>
    </row>
    <row r="1374" spans="1:6" ht="15.75" thickBot="1" x14ac:dyDescent="0.3">
      <c r="A1374" s="30" t="s">
        <v>163</v>
      </c>
      <c r="B1374" s="30" t="s">
        <v>164</v>
      </c>
      <c r="C1374" s="30" t="s">
        <v>26</v>
      </c>
      <c r="D1374" s="30" t="s">
        <v>27</v>
      </c>
      <c r="E1374" s="30" t="s">
        <v>28</v>
      </c>
      <c r="F1374" s="30" t="s">
        <v>17</v>
      </c>
    </row>
    <row r="1375" spans="1:6" ht="15.75" thickBot="1" x14ac:dyDescent="0.3">
      <c r="A1375" s="31" t="s">
        <v>29</v>
      </c>
      <c r="B1375" s="32" t="s">
        <v>30</v>
      </c>
      <c r="C1375" s="33">
        <v>46204</v>
      </c>
      <c r="D1375" s="31" t="s">
        <v>31</v>
      </c>
      <c r="E1375" s="34" t="s">
        <v>32</v>
      </c>
      <c r="F1375" s="35" t="s">
        <v>33</v>
      </c>
    </row>
    <row r="1376" spans="1:6" ht="15.75" thickBot="1" x14ac:dyDescent="0.3">
      <c r="A1376" s="36"/>
      <c r="B1376" s="32" t="s">
        <v>34</v>
      </c>
      <c r="C1376" s="37">
        <f>IF(C1375="","",IF(AND(MONTH(C1375)&gt;=1,MONTH(C1375)&lt;=3),1,IF(AND(MONTH(C1375)&gt;=4,MONTH(C1375)&lt;=6),2,IF(AND(MONTH(C1375)&gt;=7,MONTH(C1375)&lt;=9),3,4))))</f>
        <v>3</v>
      </c>
      <c r="D1376" s="36"/>
      <c r="E1376" s="34" t="s">
        <v>35</v>
      </c>
      <c r="F1376" s="35"/>
    </row>
    <row r="1377" spans="1:6" ht="15.75" thickBot="1" x14ac:dyDescent="0.3">
      <c r="A1377" s="36"/>
      <c r="B1377" s="32" t="s">
        <v>36</v>
      </c>
      <c r="C1377" s="33">
        <v>46207</v>
      </c>
      <c r="D1377" s="36"/>
      <c r="E1377" s="34" t="s">
        <v>37</v>
      </c>
      <c r="F1377" s="35"/>
    </row>
    <row r="1378" spans="1:6" ht="15.75" thickBot="1" x14ac:dyDescent="0.3">
      <c r="A1378" s="36"/>
      <c r="B1378" s="32" t="s">
        <v>34</v>
      </c>
      <c r="C1378" s="37">
        <f>IF(C1377="","",IF(AND(MONTH(C1377)&gt;=1,MONTH(C1377)&lt;=3),1,IF(AND(MONTH(C1377)&gt;=4,MONTH(C1377)&lt;=6),2,IF(AND(MONTH(C1377)&gt;=7,MONTH(C1377)&lt;=9),3,4))))</f>
        <v>3</v>
      </c>
      <c r="D1378" s="36"/>
      <c r="E1378" s="34" t="s">
        <v>38</v>
      </c>
      <c r="F1378" s="35"/>
    </row>
    <row r="1379" spans="1:6" ht="15.75" thickBot="1" x14ac:dyDescent="0.3">
      <c r="A1379" s="46"/>
      <c r="B1379" s="46"/>
      <c r="C1379" s="46"/>
      <c r="D1379" s="46"/>
      <c r="E1379" s="46"/>
      <c r="F1379" s="46"/>
    </row>
    <row r="1380" spans="1:6" ht="15.75" thickBot="1" x14ac:dyDescent="0.3">
      <c r="A1380" s="38" t="s">
        <v>39</v>
      </c>
      <c r="B1380" s="38" t="s">
        <v>40</v>
      </c>
      <c r="C1380" s="38" t="s">
        <v>41</v>
      </c>
      <c r="D1380" s="38" t="s">
        <v>42</v>
      </c>
      <c r="E1380" s="38" t="s">
        <v>43</v>
      </c>
      <c r="F1380" s="38" t="s">
        <v>44</v>
      </c>
    </row>
    <row r="1381" spans="1:6" ht="45" x14ac:dyDescent="0.25">
      <c r="A1381" s="39" t="s">
        <v>165</v>
      </c>
      <c r="B1381" s="40" t="str">
        <f t="shared" ref="B1381:B1392" ca="1" si="64">IFERROR(INDEX(UNSPSCDes,MATCH(INDIRECT(ADDRESS(ROW(),COLUMN()-1,4)),UNSPSCCode,0)),IF(INDIRECT(ADDRESS(ROW(),COLUMN()-1,4))="52151502","Platos desechables para uso doméstico",""))</f>
        <v>Platos desechables para uso doméstico</v>
      </c>
      <c r="C1381" s="41" t="str">
        <f>IFERROR(VLOOKUP("UD",'[1]Informacion '!P:Q,2,FALSE),"")</f>
        <v>Unidad</v>
      </c>
      <c r="D1381" s="39">
        <v>60</v>
      </c>
      <c r="E1381" s="42">
        <v>1101.69</v>
      </c>
      <c r="F1381" s="43">
        <f t="shared" ref="F1381:F1392" ca="1" si="65">INDIRECT(ADDRESS(ROW(),COLUMN()-2,4))*INDIRECT(ADDRESS(ROW(),COLUMN()-1,4))</f>
        <v>66101.400000000009</v>
      </c>
    </row>
    <row r="1382" spans="1:6" ht="45" x14ac:dyDescent="0.25">
      <c r="A1382" s="39" t="s">
        <v>165</v>
      </c>
      <c r="B1382" s="40" t="str">
        <f t="shared" ca="1" si="64"/>
        <v>Platos desechables para uso doméstico</v>
      </c>
      <c r="C1382" s="41" t="str">
        <f>IFERROR(VLOOKUP("PAQ",'[1]Informacion '!P:Q,2,FALSE),"")</f>
        <v>Paquete</v>
      </c>
      <c r="D1382" s="39">
        <v>60</v>
      </c>
      <c r="E1382" s="42">
        <v>2288.14</v>
      </c>
      <c r="F1382" s="43">
        <f t="shared" ca="1" si="65"/>
        <v>137288.4</v>
      </c>
    </row>
    <row r="1383" spans="1:6" ht="45" x14ac:dyDescent="0.25">
      <c r="A1383" s="39" t="s">
        <v>165</v>
      </c>
      <c r="B1383" s="40" t="str">
        <f t="shared" ca="1" si="64"/>
        <v>Platos desechables para uso doméstico</v>
      </c>
      <c r="C1383" s="41" t="str">
        <f>IFERROR(VLOOKUP("PAQ",'[1]Informacion '!P:Q,2,FALSE),"")</f>
        <v>Paquete</v>
      </c>
      <c r="D1383" s="39">
        <v>150</v>
      </c>
      <c r="E1383" s="42">
        <v>1355.93</v>
      </c>
      <c r="F1383" s="43">
        <f t="shared" ca="1" si="65"/>
        <v>203389.5</v>
      </c>
    </row>
    <row r="1384" spans="1:6" ht="45" x14ac:dyDescent="0.25">
      <c r="A1384" s="39" t="s">
        <v>165</v>
      </c>
      <c r="B1384" s="40" t="str">
        <f t="shared" ca="1" si="64"/>
        <v>Platos desechables para uso doméstico</v>
      </c>
      <c r="C1384" s="41" t="str">
        <f>IFERROR(VLOOKUP("UD",'[1]Informacion '!P:Q,2,FALSE),"")</f>
        <v>Unidad</v>
      </c>
      <c r="D1384" s="39">
        <v>18</v>
      </c>
      <c r="E1384" s="42">
        <v>2186.44</v>
      </c>
      <c r="F1384" s="43">
        <f t="shared" ca="1" si="65"/>
        <v>39355.919999999998</v>
      </c>
    </row>
    <row r="1385" spans="1:6" ht="45" x14ac:dyDescent="0.25">
      <c r="A1385" s="39" t="s">
        <v>165</v>
      </c>
      <c r="B1385" s="40" t="str">
        <f t="shared" ca="1" si="64"/>
        <v>Platos desechables para uso doméstico</v>
      </c>
      <c r="C1385" s="41" t="str">
        <f>IFERROR(VLOOKUP("PAQ",'[1]Informacion '!P:Q,2,FALSE),"")</f>
        <v>Paquete</v>
      </c>
      <c r="D1385" s="39">
        <v>18000</v>
      </c>
      <c r="E1385" s="42">
        <v>1.82</v>
      </c>
      <c r="F1385" s="43">
        <f t="shared" ca="1" si="65"/>
        <v>32760</v>
      </c>
    </row>
    <row r="1386" spans="1:6" ht="45" x14ac:dyDescent="0.25">
      <c r="A1386" s="39" t="s">
        <v>165</v>
      </c>
      <c r="B1386" s="40" t="str">
        <f t="shared" ca="1" si="64"/>
        <v>Platos desechables para uso doméstico</v>
      </c>
      <c r="C1386" s="41" t="str">
        <f>IFERROR(VLOOKUP("PAQ",'[1]Informacion '!P:Q,2,FALSE),"")</f>
        <v>Paquete</v>
      </c>
      <c r="D1386" s="39">
        <v>120</v>
      </c>
      <c r="E1386" s="42">
        <v>645</v>
      </c>
      <c r="F1386" s="43">
        <f t="shared" ca="1" si="65"/>
        <v>77400</v>
      </c>
    </row>
    <row r="1387" spans="1:6" ht="45" x14ac:dyDescent="0.25">
      <c r="A1387" s="39" t="s">
        <v>165</v>
      </c>
      <c r="B1387" s="40" t="str">
        <f t="shared" ca="1" si="64"/>
        <v>Platos desechables para uso doméstico</v>
      </c>
      <c r="C1387" s="41" t="str">
        <f>IFERROR(VLOOKUP("PAQ",'[1]Informacion '!P:Q,2,FALSE),"")</f>
        <v>Paquete</v>
      </c>
      <c r="D1387" s="39">
        <v>6</v>
      </c>
      <c r="E1387" s="42">
        <v>790</v>
      </c>
      <c r="F1387" s="43">
        <f t="shared" ca="1" si="65"/>
        <v>4740</v>
      </c>
    </row>
    <row r="1388" spans="1:6" ht="45" x14ac:dyDescent="0.25">
      <c r="A1388" s="39" t="s">
        <v>165</v>
      </c>
      <c r="B1388" s="40" t="str">
        <f t="shared" ca="1" si="64"/>
        <v>Platos desechables para uso doméstico</v>
      </c>
      <c r="C1388" s="41" t="str">
        <f>IFERROR(VLOOKUP("PAQ",'[1]Informacion '!P:Q,2,FALSE),"")</f>
        <v>Paquete</v>
      </c>
      <c r="D1388" s="39">
        <v>120</v>
      </c>
      <c r="E1388" s="42">
        <v>790</v>
      </c>
      <c r="F1388" s="43">
        <f t="shared" ca="1" si="65"/>
        <v>94800</v>
      </c>
    </row>
    <row r="1389" spans="1:6" ht="45" x14ac:dyDescent="0.25">
      <c r="A1389" s="39" t="s">
        <v>165</v>
      </c>
      <c r="B1389" s="40" t="str">
        <f t="shared" ca="1" si="64"/>
        <v>Platos desechables para uso doméstico</v>
      </c>
      <c r="C1389" s="41" t="str">
        <f>IFERROR(VLOOKUP("PAQ",'[1]Informacion '!P:Q,2,FALSE),"")</f>
        <v>Paquete</v>
      </c>
      <c r="D1389" s="39">
        <v>360</v>
      </c>
      <c r="E1389" s="42">
        <v>1101.69</v>
      </c>
      <c r="F1389" s="43">
        <f t="shared" ca="1" si="65"/>
        <v>396608.4</v>
      </c>
    </row>
    <row r="1390" spans="1:6" ht="45" x14ac:dyDescent="0.25">
      <c r="A1390" s="39" t="s">
        <v>165</v>
      </c>
      <c r="B1390" s="40" t="str">
        <f t="shared" ca="1" si="64"/>
        <v>Platos desechables para uso doméstico</v>
      </c>
      <c r="C1390" s="41" t="str">
        <f>IFERROR(VLOOKUP("PAQ",'[1]Informacion '!P:Q,2,FALSE),"")</f>
        <v>Paquete</v>
      </c>
      <c r="D1390" s="39">
        <v>12</v>
      </c>
      <c r="E1390" s="42">
        <v>1101.69</v>
      </c>
      <c r="F1390" s="43">
        <f t="shared" ca="1" si="65"/>
        <v>13220.28</v>
      </c>
    </row>
    <row r="1391" spans="1:6" ht="45" x14ac:dyDescent="0.25">
      <c r="A1391" s="39" t="s">
        <v>165</v>
      </c>
      <c r="B1391" s="40" t="str">
        <f t="shared" ca="1" si="64"/>
        <v>Platos desechables para uso doméstico</v>
      </c>
      <c r="C1391" s="41" t="str">
        <f>IFERROR(VLOOKUP("CAJ",'[1]Informacion '!P:Q,2,FALSE),"")</f>
        <v>Caja</v>
      </c>
      <c r="D1391" s="39">
        <v>18</v>
      </c>
      <c r="E1391" s="42">
        <v>2200</v>
      </c>
      <c r="F1391" s="43">
        <f t="shared" ca="1" si="65"/>
        <v>39600</v>
      </c>
    </row>
    <row r="1392" spans="1:6" ht="39.75" customHeight="1" x14ac:dyDescent="0.25">
      <c r="A1392" s="39" t="s">
        <v>165</v>
      </c>
      <c r="B1392" s="40" t="str">
        <f t="shared" ca="1" si="64"/>
        <v>Platos desechables para uso doméstico</v>
      </c>
      <c r="C1392" s="41" t="str">
        <f>IFERROR(VLOOKUP("CAJ",'[1]Informacion '!P:Q,2,FALSE),"")</f>
        <v>Caja</v>
      </c>
      <c r="D1392" s="39">
        <v>18</v>
      </c>
      <c r="E1392" s="42">
        <v>2500</v>
      </c>
      <c r="F1392" s="43">
        <f t="shared" ca="1" si="65"/>
        <v>45000</v>
      </c>
    </row>
    <row r="1393" spans="1:6" x14ac:dyDescent="0.25">
      <c r="A1393" s="46"/>
      <c r="B1393" s="46"/>
      <c r="C1393" s="46"/>
      <c r="D1393" s="46"/>
      <c r="E1393" s="44" t="s">
        <v>46</v>
      </c>
      <c r="F1393" s="45">
        <f ca="1">SUM(Table50[MONTO TOTAL ESTIMADO])</f>
        <v>1150263.9000000001</v>
      </c>
    </row>
    <row r="1394" spans="1:6" ht="15.75" thickBot="1" x14ac:dyDescent="0.3">
      <c r="A1394" s="46"/>
      <c r="B1394" s="46"/>
      <c r="C1394" s="46"/>
      <c r="D1394" s="46"/>
      <c r="E1394" s="46"/>
      <c r="F1394" s="46"/>
    </row>
    <row r="1395" spans="1:6" ht="34.5" thickBot="1" x14ac:dyDescent="0.3">
      <c r="A1395" s="29" t="s">
        <v>18</v>
      </c>
      <c r="B1395" s="29" t="s">
        <v>19</v>
      </c>
      <c r="C1395" s="29" t="s">
        <v>20</v>
      </c>
      <c r="D1395" s="29" t="s">
        <v>21</v>
      </c>
      <c r="E1395" s="29" t="s">
        <v>22</v>
      </c>
      <c r="F1395" s="29" t="s">
        <v>23</v>
      </c>
    </row>
    <row r="1396" spans="1:6" ht="15.75" thickBot="1" x14ac:dyDescent="0.3">
      <c r="A1396" s="30" t="s">
        <v>166</v>
      </c>
      <c r="B1396" s="30" t="s">
        <v>167</v>
      </c>
      <c r="C1396" s="30" t="s">
        <v>161</v>
      </c>
      <c r="D1396" s="30" t="s">
        <v>27</v>
      </c>
      <c r="E1396" s="30" t="s">
        <v>28</v>
      </c>
      <c r="F1396" s="30" t="s">
        <v>17</v>
      </c>
    </row>
    <row r="1397" spans="1:6" ht="15.75" thickBot="1" x14ac:dyDescent="0.3">
      <c r="A1397" s="31" t="s">
        <v>29</v>
      </c>
      <c r="B1397" s="32" t="s">
        <v>30</v>
      </c>
      <c r="C1397" s="33">
        <v>46306</v>
      </c>
      <c r="D1397" s="31" t="s">
        <v>31</v>
      </c>
      <c r="E1397" s="34" t="s">
        <v>32</v>
      </c>
      <c r="F1397" s="35" t="s">
        <v>33</v>
      </c>
    </row>
    <row r="1398" spans="1:6" ht="15.75" thickBot="1" x14ac:dyDescent="0.3">
      <c r="A1398" s="36"/>
      <c r="B1398" s="32" t="s">
        <v>34</v>
      </c>
      <c r="C1398" s="37">
        <f>IF(C1397="","",IF(AND(MONTH(C1397)&gt;=1,MONTH(C1397)&lt;=3),1,IF(AND(MONTH(C1397)&gt;=4,MONTH(C1397)&lt;=6),2,IF(AND(MONTH(C1397)&gt;=7,MONTH(C1397)&lt;=9),3,4))))</f>
        <v>4</v>
      </c>
      <c r="D1398" s="36"/>
      <c r="E1398" s="34" t="s">
        <v>35</v>
      </c>
      <c r="F1398" s="35"/>
    </row>
    <row r="1399" spans="1:6" ht="15.75" thickBot="1" x14ac:dyDescent="0.3">
      <c r="A1399" s="36"/>
      <c r="B1399" s="32" t="s">
        <v>36</v>
      </c>
      <c r="C1399" s="33">
        <v>46366</v>
      </c>
      <c r="D1399" s="36"/>
      <c r="E1399" s="34" t="s">
        <v>37</v>
      </c>
      <c r="F1399" s="35"/>
    </row>
    <row r="1400" spans="1:6" ht="15.75" thickBot="1" x14ac:dyDescent="0.3">
      <c r="A1400" s="36"/>
      <c r="B1400" s="32" t="s">
        <v>34</v>
      </c>
      <c r="C1400" s="37">
        <f>IF(C1399="","",IF(AND(MONTH(C1399)&gt;=1,MONTH(C1399)&lt;=3),1,IF(AND(MONTH(C1399)&gt;=4,MONTH(C1399)&lt;=6),2,IF(AND(MONTH(C1399)&gt;=7,MONTH(C1399)&lt;=9),3,4))))</f>
        <v>4</v>
      </c>
      <c r="D1400" s="36"/>
      <c r="E1400" s="34" t="s">
        <v>38</v>
      </c>
      <c r="F1400" s="35"/>
    </row>
    <row r="1401" spans="1:6" ht="15.75" thickBot="1" x14ac:dyDescent="0.3">
      <c r="A1401" s="46"/>
      <c r="B1401" s="46"/>
      <c r="C1401" s="46"/>
      <c r="D1401" s="46"/>
      <c r="E1401" s="46"/>
      <c r="F1401" s="46"/>
    </row>
    <row r="1402" spans="1:6" ht="15.75" thickBot="1" x14ac:dyDescent="0.3">
      <c r="A1402" s="38" t="s">
        <v>39</v>
      </c>
      <c r="B1402" s="38" t="s">
        <v>40</v>
      </c>
      <c r="C1402" s="38" t="s">
        <v>41</v>
      </c>
      <c r="D1402" s="38" t="s">
        <v>42</v>
      </c>
      <c r="E1402" s="38" t="s">
        <v>43</v>
      </c>
      <c r="F1402" s="38" t="s">
        <v>44</v>
      </c>
    </row>
    <row r="1403" spans="1:6" x14ac:dyDescent="0.25">
      <c r="A1403" s="39" t="s">
        <v>168</v>
      </c>
      <c r="B1403" s="40" t="str">
        <f ca="1">IFERROR(INDEX(UNSPSCDes,MATCH(INDIRECT(ADDRESS(ROW(),COLUMN()-1,4)),UNSPSCCode,0)),IF(INDIRECT(ADDRESS(ROW(),COLUMN()-1,4))="27111804","Plomadas",""))</f>
        <v>Plomadas</v>
      </c>
      <c r="C1403" s="41" t="str">
        <f>IFERROR(VLOOKUP("UD",'[1]Informacion '!P:Q,2,FALSE),"")</f>
        <v>Unidad</v>
      </c>
      <c r="D1403" s="39">
        <v>1</v>
      </c>
      <c r="E1403" s="42">
        <v>2000000</v>
      </c>
      <c r="F1403" s="43">
        <f ca="1">INDIRECT(ADDRESS(ROW(),COLUMN()-2,4))*INDIRECT(ADDRESS(ROW(),COLUMN()-1,4))</f>
        <v>2000000</v>
      </c>
    </row>
    <row r="1404" spans="1:6" x14ac:dyDescent="0.25">
      <c r="A1404" s="46"/>
      <c r="B1404" s="46"/>
      <c r="C1404" s="46"/>
      <c r="D1404" s="46"/>
      <c r="E1404" s="44" t="s">
        <v>46</v>
      </c>
      <c r="F1404" s="45">
        <f ca="1">SUM(Table51[MONTO TOTAL ESTIMADO])</f>
        <v>2000000</v>
      </c>
    </row>
    <row r="1405" spans="1:6" ht="15.75" thickBot="1" x14ac:dyDescent="0.3">
      <c r="A1405" s="46"/>
      <c r="B1405" s="46"/>
      <c r="C1405" s="46"/>
      <c r="D1405" s="46"/>
      <c r="E1405" s="46"/>
      <c r="F1405" s="46"/>
    </row>
    <row r="1406" spans="1:6" ht="34.5" thickBot="1" x14ac:dyDescent="0.3">
      <c r="A1406" s="29" t="s">
        <v>18</v>
      </c>
      <c r="B1406" s="29" t="s">
        <v>19</v>
      </c>
      <c r="C1406" s="29" t="s">
        <v>20</v>
      </c>
      <c r="D1406" s="29" t="s">
        <v>21</v>
      </c>
      <c r="E1406" s="29" t="s">
        <v>22</v>
      </c>
      <c r="F1406" s="29" t="s">
        <v>23</v>
      </c>
    </row>
    <row r="1407" spans="1:6" ht="15.75" thickBot="1" x14ac:dyDescent="0.3">
      <c r="A1407" s="30" t="s">
        <v>169</v>
      </c>
      <c r="B1407" s="30" t="s">
        <v>169</v>
      </c>
      <c r="C1407" s="30" t="s">
        <v>161</v>
      </c>
      <c r="D1407" s="30" t="s">
        <v>49</v>
      </c>
      <c r="E1407" s="30" t="s">
        <v>28</v>
      </c>
      <c r="F1407" s="30" t="s">
        <v>17</v>
      </c>
    </row>
    <row r="1408" spans="1:6" ht="15.75" thickBot="1" x14ac:dyDescent="0.3">
      <c r="A1408" s="31" t="s">
        <v>29</v>
      </c>
      <c r="B1408" s="32" t="s">
        <v>30</v>
      </c>
      <c r="C1408" s="33">
        <v>46179</v>
      </c>
      <c r="D1408" s="31" t="s">
        <v>31</v>
      </c>
      <c r="E1408" s="34" t="s">
        <v>32</v>
      </c>
      <c r="F1408" s="35" t="s">
        <v>33</v>
      </c>
    </row>
    <row r="1409" spans="1:6" ht="15.75" thickBot="1" x14ac:dyDescent="0.3">
      <c r="A1409" s="36"/>
      <c r="B1409" s="32" t="s">
        <v>34</v>
      </c>
      <c r="C1409" s="37">
        <f>IF(C1408="","",IF(AND(MONTH(C1408)&gt;=1,MONTH(C1408)&lt;=3),1,IF(AND(MONTH(C1408)&gt;=4,MONTH(C1408)&lt;=6),2,IF(AND(MONTH(C1408)&gt;=7,MONTH(C1408)&lt;=9),3,4))))</f>
        <v>2</v>
      </c>
      <c r="D1409" s="36"/>
      <c r="E1409" s="34" t="s">
        <v>35</v>
      </c>
      <c r="F1409" s="35"/>
    </row>
    <row r="1410" spans="1:6" ht="15.75" thickBot="1" x14ac:dyDescent="0.3">
      <c r="A1410" s="36"/>
      <c r="B1410" s="32" t="s">
        <v>36</v>
      </c>
      <c r="C1410" s="33">
        <v>46210</v>
      </c>
      <c r="D1410" s="36"/>
      <c r="E1410" s="34" t="s">
        <v>37</v>
      </c>
      <c r="F1410" s="35"/>
    </row>
    <row r="1411" spans="1:6" ht="15.75" thickBot="1" x14ac:dyDescent="0.3">
      <c r="A1411" s="36"/>
      <c r="B1411" s="32" t="s">
        <v>34</v>
      </c>
      <c r="C1411" s="37">
        <f>IF(C1410="","",IF(AND(MONTH(C1410)&gt;=1,MONTH(C1410)&lt;=3),1,IF(AND(MONTH(C1410)&gt;=4,MONTH(C1410)&lt;=6),2,IF(AND(MONTH(C1410)&gt;=7,MONTH(C1410)&lt;=9),3,4))))</f>
        <v>3</v>
      </c>
      <c r="D1411" s="36"/>
      <c r="E1411" s="34" t="s">
        <v>38</v>
      </c>
      <c r="F1411" s="35"/>
    </row>
    <row r="1412" spans="1:6" ht="15.75" thickBot="1" x14ac:dyDescent="0.3">
      <c r="A1412" s="46"/>
      <c r="B1412" s="46"/>
      <c r="C1412" s="46"/>
      <c r="D1412" s="46"/>
      <c r="E1412" s="46"/>
      <c r="F1412" s="46"/>
    </row>
    <row r="1413" spans="1:6" ht="15.75" thickBot="1" x14ac:dyDescent="0.3">
      <c r="A1413" s="38" t="s">
        <v>39</v>
      </c>
      <c r="B1413" s="38" t="s">
        <v>40</v>
      </c>
      <c r="C1413" s="38" t="s">
        <v>41</v>
      </c>
      <c r="D1413" s="38" t="s">
        <v>42</v>
      </c>
      <c r="E1413" s="38" t="s">
        <v>43</v>
      </c>
      <c r="F1413" s="38" t="s">
        <v>44</v>
      </c>
    </row>
    <row r="1414" spans="1:6" ht="33.75" x14ac:dyDescent="0.25">
      <c r="A1414" s="39" t="s">
        <v>170</v>
      </c>
      <c r="B1414" s="40" t="str">
        <f ca="1">IFERROR(INDEX(UNSPSCDes,MATCH(INDIRECT(ADDRESS(ROW(),COLUMN()-1,4)),UNSPSCCode,0)),IF(INDIRECT(ADDRESS(ROW(),COLUMN()-1,4))="81101701","Servicios de ingeniería eléctrica",""))</f>
        <v>Servicios de ingeniería eléctrica</v>
      </c>
      <c r="C1414" s="41" t="str">
        <f>IFERROR(VLOOKUP("UD",'[1]Informacion '!P:Q,2,FALSE),"")</f>
        <v>Unidad</v>
      </c>
      <c r="D1414" s="39">
        <v>1</v>
      </c>
      <c r="E1414" s="42">
        <v>14000000</v>
      </c>
      <c r="F1414" s="43">
        <f ca="1">INDIRECT(ADDRESS(ROW(),COLUMN()-2,4))*INDIRECT(ADDRESS(ROW(),COLUMN()-1,4))</f>
        <v>14000000</v>
      </c>
    </row>
    <row r="1415" spans="1:6" x14ac:dyDescent="0.25">
      <c r="A1415" s="46"/>
      <c r="B1415" s="46"/>
      <c r="C1415" s="46"/>
      <c r="D1415" s="46"/>
      <c r="E1415" s="44" t="s">
        <v>46</v>
      </c>
      <c r="F1415" s="45">
        <f ca="1">SUM(Table52[MONTO TOTAL ESTIMADO])</f>
        <v>14000000</v>
      </c>
    </row>
    <row r="1416" spans="1:6" ht="15.75" thickBot="1" x14ac:dyDescent="0.3">
      <c r="A1416" s="46"/>
      <c r="B1416" s="46"/>
      <c r="C1416" s="46"/>
      <c r="D1416" s="46"/>
      <c r="E1416" s="46"/>
      <c r="F1416" s="46"/>
    </row>
    <row r="1417" spans="1:6" ht="34.5" thickBot="1" x14ac:dyDescent="0.3">
      <c r="A1417" s="29" t="s">
        <v>18</v>
      </c>
      <c r="B1417" s="29" t="s">
        <v>19</v>
      </c>
      <c r="C1417" s="29" t="s">
        <v>20</v>
      </c>
      <c r="D1417" s="29" t="s">
        <v>21</v>
      </c>
      <c r="E1417" s="29" t="s">
        <v>22</v>
      </c>
      <c r="F1417" s="29" t="s">
        <v>23</v>
      </c>
    </row>
    <row r="1418" spans="1:6" ht="15.75" thickBot="1" x14ac:dyDescent="0.3">
      <c r="A1418" s="30" t="s">
        <v>171</v>
      </c>
      <c r="B1418" s="30" t="s">
        <v>171</v>
      </c>
      <c r="C1418" s="30" t="s">
        <v>161</v>
      </c>
      <c r="D1418" s="30" t="s">
        <v>27</v>
      </c>
      <c r="E1418" s="30" t="s">
        <v>28</v>
      </c>
      <c r="F1418" s="30" t="s">
        <v>17</v>
      </c>
    </row>
    <row r="1419" spans="1:6" ht="15.75" thickBot="1" x14ac:dyDescent="0.3">
      <c r="A1419" s="31" t="s">
        <v>29</v>
      </c>
      <c r="B1419" s="32" t="s">
        <v>30</v>
      </c>
      <c r="C1419" s="33">
        <v>45939</v>
      </c>
      <c r="D1419" s="31" t="s">
        <v>31</v>
      </c>
      <c r="E1419" s="34" t="s">
        <v>32</v>
      </c>
      <c r="F1419" s="35" t="s">
        <v>33</v>
      </c>
    </row>
    <row r="1420" spans="1:6" ht="15.75" thickBot="1" x14ac:dyDescent="0.3">
      <c r="A1420" s="36"/>
      <c r="B1420" s="32" t="s">
        <v>34</v>
      </c>
      <c r="C1420" s="37">
        <f>IF(C1419="","",IF(AND(MONTH(C1419)&gt;=1,MONTH(C1419)&lt;=3),1,IF(AND(MONTH(C1419)&gt;=4,MONTH(C1419)&lt;=6),2,IF(AND(MONTH(C1419)&gt;=7,MONTH(C1419)&lt;=9),3,4))))</f>
        <v>4</v>
      </c>
      <c r="D1420" s="36"/>
      <c r="E1420" s="34" t="s">
        <v>35</v>
      </c>
      <c r="F1420" s="35"/>
    </row>
    <row r="1421" spans="1:6" ht="15.75" thickBot="1" x14ac:dyDescent="0.3">
      <c r="A1421" s="36"/>
      <c r="B1421" s="32" t="s">
        <v>36</v>
      </c>
      <c r="C1421" s="33">
        <v>45970</v>
      </c>
      <c r="D1421" s="36"/>
      <c r="E1421" s="34" t="s">
        <v>37</v>
      </c>
      <c r="F1421" s="35"/>
    </row>
    <row r="1422" spans="1:6" ht="15.75" thickBot="1" x14ac:dyDescent="0.3">
      <c r="A1422" s="36"/>
      <c r="B1422" s="32" t="s">
        <v>34</v>
      </c>
      <c r="C1422" s="37">
        <f>IF(C1421="","",IF(AND(MONTH(C1421)&gt;=1,MONTH(C1421)&lt;=3),1,IF(AND(MONTH(C1421)&gt;=4,MONTH(C1421)&lt;=6),2,IF(AND(MONTH(C1421)&gt;=7,MONTH(C1421)&lt;=9),3,4))))</f>
        <v>4</v>
      </c>
      <c r="D1422" s="36"/>
      <c r="E1422" s="34" t="s">
        <v>38</v>
      </c>
      <c r="F1422" s="35"/>
    </row>
    <row r="1423" spans="1:6" ht="15.75" thickBot="1" x14ac:dyDescent="0.3">
      <c r="A1423" s="46"/>
      <c r="B1423" s="46"/>
      <c r="C1423" s="46"/>
      <c r="D1423" s="46"/>
      <c r="E1423" s="46"/>
      <c r="F1423" s="46"/>
    </row>
    <row r="1424" spans="1:6" ht="15.75" thickBot="1" x14ac:dyDescent="0.3">
      <c r="A1424" s="38" t="s">
        <v>39</v>
      </c>
      <c r="B1424" s="38" t="s">
        <v>40</v>
      </c>
      <c r="C1424" s="38" t="s">
        <v>41</v>
      </c>
      <c r="D1424" s="38" t="s">
        <v>42</v>
      </c>
      <c r="E1424" s="38" t="s">
        <v>43</v>
      </c>
      <c r="F1424" s="38" t="s">
        <v>44</v>
      </c>
    </row>
    <row r="1425" spans="1:6" ht="45" x14ac:dyDescent="0.25">
      <c r="A1425" s="39" t="s">
        <v>172</v>
      </c>
      <c r="B1425" s="40" t="str">
        <f ca="1">IFERROR(INDEX(UNSPSCDes,MATCH(INDIRECT(ADDRESS(ROW(),COLUMN()-1,4)),UNSPSCCode,0)),IF(INDIRECT(ADDRESS(ROW(),COLUMN()-1,4))="82121905","Restauración o reparación de encuadernaciones",""))</f>
        <v>Restauración o reparación de encuadernaciones</v>
      </c>
      <c r="C1425" s="41" t="str">
        <f>IFERROR(VLOOKUP("UD",'[1]Informacion '!P:Q,2,FALSE),"")</f>
        <v>Unidad</v>
      </c>
      <c r="D1425" s="39">
        <v>1</v>
      </c>
      <c r="E1425" s="42">
        <v>600000</v>
      </c>
      <c r="F1425" s="43">
        <f ca="1">INDIRECT(ADDRESS(ROW(),COLUMN()-2,4))*INDIRECT(ADDRESS(ROW(),COLUMN()-1,4))</f>
        <v>600000</v>
      </c>
    </row>
    <row r="1426" spans="1:6" x14ac:dyDescent="0.25">
      <c r="A1426" s="46"/>
      <c r="B1426" s="46"/>
      <c r="C1426" s="46"/>
      <c r="D1426" s="46"/>
      <c r="E1426" s="44" t="s">
        <v>46</v>
      </c>
      <c r="F1426" s="45">
        <f ca="1">SUM(Table53[MONTO TOTAL ESTIMADO])</f>
        <v>600000</v>
      </c>
    </row>
    <row r="1427" spans="1:6" ht="15.75" thickBot="1" x14ac:dyDescent="0.3">
      <c r="A1427" s="46"/>
      <c r="B1427" s="46"/>
      <c r="C1427" s="46"/>
      <c r="D1427" s="46"/>
      <c r="E1427" s="46"/>
      <c r="F1427" s="46"/>
    </row>
    <row r="1428" spans="1:6" ht="34.5" thickBot="1" x14ac:dyDescent="0.3">
      <c r="A1428" s="29" t="s">
        <v>18</v>
      </c>
      <c r="B1428" s="29" t="s">
        <v>19</v>
      </c>
      <c r="C1428" s="29" t="s">
        <v>20</v>
      </c>
      <c r="D1428" s="29" t="s">
        <v>21</v>
      </c>
      <c r="E1428" s="29" t="s">
        <v>22</v>
      </c>
      <c r="F1428" s="29" t="s">
        <v>23</v>
      </c>
    </row>
    <row r="1429" spans="1:6" ht="15.75" thickBot="1" x14ac:dyDescent="0.3">
      <c r="A1429" s="30" t="s">
        <v>173</v>
      </c>
      <c r="B1429" s="30" t="s">
        <v>174</v>
      </c>
      <c r="C1429" s="30" t="s">
        <v>161</v>
      </c>
      <c r="D1429" s="30" t="s">
        <v>175</v>
      </c>
      <c r="E1429" s="30" t="s">
        <v>28</v>
      </c>
      <c r="F1429" s="30" t="s">
        <v>17</v>
      </c>
    </row>
    <row r="1430" spans="1:6" ht="15.75" thickBot="1" x14ac:dyDescent="0.3">
      <c r="A1430" s="31" t="s">
        <v>29</v>
      </c>
      <c r="B1430" s="32" t="s">
        <v>30</v>
      </c>
      <c r="C1430" s="33">
        <v>46180</v>
      </c>
      <c r="D1430" s="31" t="s">
        <v>31</v>
      </c>
      <c r="E1430" s="34" t="s">
        <v>32</v>
      </c>
      <c r="F1430" s="35" t="s">
        <v>33</v>
      </c>
    </row>
    <row r="1431" spans="1:6" ht="15.75" thickBot="1" x14ac:dyDescent="0.3">
      <c r="A1431" s="36"/>
      <c r="B1431" s="32" t="s">
        <v>34</v>
      </c>
      <c r="C1431" s="37">
        <f>IF(C1430="","",IF(AND(MONTH(C1430)&gt;=1,MONTH(C1430)&lt;=3),1,IF(AND(MONTH(C1430)&gt;=4,MONTH(C1430)&lt;=6),2,IF(AND(MONTH(C1430)&gt;=7,MONTH(C1430)&lt;=9),3,4))))</f>
        <v>2</v>
      </c>
      <c r="D1431" s="36"/>
      <c r="E1431" s="34" t="s">
        <v>35</v>
      </c>
      <c r="F1431" s="35"/>
    </row>
    <row r="1432" spans="1:6" ht="15.75" thickBot="1" x14ac:dyDescent="0.3">
      <c r="A1432" s="36"/>
      <c r="B1432" s="32" t="s">
        <v>36</v>
      </c>
      <c r="C1432" s="33">
        <v>46306</v>
      </c>
      <c r="D1432" s="36"/>
      <c r="E1432" s="34" t="s">
        <v>37</v>
      </c>
      <c r="F1432" s="35"/>
    </row>
    <row r="1433" spans="1:6" ht="15.75" thickBot="1" x14ac:dyDescent="0.3">
      <c r="A1433" s="36"/>
      <c r="B1433" s="32" t="s">
        <v>34</v>
      </c>
      <c r="C1433" s="37">
        <f>IF(C1432="","",IF(AND(MONTH(C1432)&gt;=1,MONTH(C1432)&lt;=3),1,IF(AND(MONTH(C1432)&gt;=4,MONTH(C1432)&lt;=6),2,IF(AND(MONTH(C1432)&gt;=7,MONTH(C1432)&lt;=9),3,4))))</f>
        <v>4</v>
      </c>
      <c r="D1433" s="36"/>
      <c r="E1433" s="34" t="s">
        <v>38</v>
      </c>
      <c r="F1433" s="35"/>
    </row>
    <row r="1434" spans="1:6" ht="15.75" thickBot="1" x14ac:dyDescent="0.3">
      <c r="A1434" s="46"/>
      <c r="B1434" s="46"/>
      <c r="C1434" s="46"/>
      <c r="D1434" s="46"/>
      <c r="E1434" s="46"/>
      <c r="F1434" s="46"/>
    </row>
    <row r="1435" spans="1:6" ht="15.75" thickBot="1" x14ac:dyDescent="0.3">
      <c r="A1435" s="38" t="s">
        <v>39</v>
      </c>
      <c r="B1435" s="38" t="s">
        <v>40</v>
      </c>
      <c r="C1435" s="38" t="s">
        <v>41</v>
      </c>
      <c r="D1435" s="38" t="s">
        <v>42</v>
      </c>
      <c r="E1435" s="38" t="s">
        <v>43</v>
      </c>
      <c r="F1435" s="38" t="s">
        <v>44</v>
      </c>
    </row>
    <row r="1436" spans="1:6" x14ac:dyDescent="0.25">
      <c r="A1436" s="39">
        <v>12141904</v>
      </c>
      <c r="B1436" s="40" t="str">
        <f ca="1">IFERROR(INDEX(UNSPSCDes,MATCH(INDIRECT(ADDRESS(ROW(),COLUMN()-1,4)),UNSPSCCode,0)),IF(INDIRECT(ADDRESS(ROW(),COLUMN()-1,4))="82121905","Restauración o reparación de encuadernaciones",""))</f>
        <v>Oxígeno o</v>
      </c>
      <c r="C1436" s="41" t="str">
        <f>IFERROR(VLOOKUP("UD",'[1]Informacion '!P:Q,2,FALSE),"")</f>
        <v>Unidad</v>
      </c>
      <c r="D1436" s="39">
        <v>1</v>
      </c>
      <c r="E1436" s="42">
        <v>20000000</v>
      </c>
      <c r="F1436" s="43">
        <f ca="1">INDIRECT(ADDRESS(ROW(),COLUMN()-2,4))*INDIRECT(ADDRESS(ROW(),COLUMN()-1,4))</f>
        <v>20000000</v>
      </c>
    </row>
    <row r="1437" spans="1:6" x14ac:dyDescent="0.25">
      <c r="A1437" s="46"/>
      <c r="B1437" s="46"/>
      <c r="C1437" s="46"/>
      <c r="D1437" s="46"/>
      <c r="E1437" s="44" t="s">
        <v>46</v>
      </c>
      <c r="F1437" s="45">
        <f ca="1">SUM(Table54[MONTO TOTAL ESTIMADO])</f>
        <v>20000000</v>
      </c>
    </row>
    <row r="1438" spans="1:6" ht="15.75" thickBot="1" x14ac:dyDescent="0.3">
      <c r="A1438" s="46"/>
      <c r="B1438" s="46"/>
      <c r="C1438" s="46"/>
      <c r="D1438" s="46"/>
      <c r="E1438" s="46"/>
      <c r="F1438" s="46"/>
    </row>
    <row r="1439" spans="1:6" ht="34.5" thickBot="1" x14ac:dyDescent="0.3">
      <c r="A1439" s="29" t="s">
        <v>18</v>
      </c>
      <c r="B1439" s="29" t="s">
        <v>19</v>
      </c>
      <c r="C1439" s="29" t="s">
        <v>20</v>
      </c>
      <c r="D1439" s="29" t="s">
        <v>21</v>
      </c>
      <c r="E1439" s="29" t="s">
        <v>22</v>
      </c>
      <c r="F1439" s="29" t="s">
        <v>23</v>
      </c>
    </row>
    <row r="1440" spans="1:6" ht="15.75" thickBot="1" x14ac:dyDescent="0.3">
      <c r="A1440" s="30" t="s">
        <v>176</v>
      </c>
      <c r="B1440" s="30" t="s">
        <v>142</v>
      </c>
      <c r="C1440" s="30" t="s">
        <v>26</v>
      </c>
      <c r="D1440" s="30" t="s">
        <v>27</v>
      </c>
      <c r="E1440" s="30" t="s">
        <v>28</v>
      </c>
      <c r="F1440" s="30" t="s">
        <v>17</v>
      </c>
    </row>
    <row r="1441" spans="1:6" ht="15.75" thickBot="1" x14ac:dyDescent="0.3">
      <c r="A1441" s="31" t="s">
        <v>29</v>
      </c>
      <c r="B1441" s="32" t="s">
        <v>30</v>
      </c>
      <c r="C1441" s="33">
        <v>46242</v>
      </c>
      <c r="D1441" s="31" t="s">
        <v>31</v>
      </c>
      <c r="E1441" s="34" t="s">
        <v>32</v>
      </c>
      <c r="F1441" s="35" t="s">
        <v>33</v>
      </c>
    </row>
    <row r="1442" spans="1:6" ht="15.75" thickBot="1" x14ac:dyDescent="0.3">
      <c r="A1442" s="36"/>
      <c r="B1442" s="32" t="s">
        <v>34</v>
      </c>
      <c r="C1442" s="37">
        <f>IF(C1441="","",IF(AND(MONTH(C1441)&gt;=1,MONTH(C1441)&lt;=3),1,IF(AND(MONTH(C1441)&gt;=4,MONTH(C1441)&lt;=6),2,IF(AND(MONTH(C1441)&gt;=7,MONTH(C1441)&lt;=9),3,4))))</f>
        <v>3</v>
      </c>
      <c r="D1442" s="36"/>
      <c r="E1442" s="34" t="s">
        <v>35</v>
      </c>
      <c r="F1442" s="35"/>
    </row>
    <row r="1443" spans="1:6" ht="15.75" thickBot="1" x14ac:dyDescent="0.3">
      <c r="A1443" s="36"/>
      <c r="B1443" s="32" t="s">
        <v>36</v>
      </c>
      <c r="C1443" s="33">
        <v>46304</v>
      </c>
      <c r="D1443" s="36"/>
      <c r="E1443" s="34" t="s">
        <v>37</v>
      </c>
      <c r="F1443" s="35"/>
    </row>
    <row r="1444" spans="1:6" ht="15.75" thickBot="1" x14ac:dyDescent="0.3">
      <c r="A1444" s="36"/>
      <c r="B1444" s="32" t="s">
        <v>34</v>
      </c>
      <c r="C1444" s="37">
        <f>IF(C1443="","",IF(AND(MONTH(C1443)&gt;=1,MONTH(C1443)&lt;=3),1,IF(AND(MONTH(C1443)&gt;=4,MONTH(C1443)&lt;=6),2,IF(AND(MONTH(C1443)&gt;=7,MONTH(C1443)&lt;=9),3,4))))</f>
        <v>4</v>
      </c>
      <c r="D1444" s="36"/>
      <c r="E1444" s="34" t="s">
        <v>38</v>
      </c>
      <c r="F1444" s="35"/>
    </row>
    <row r="1445" spans="1:6" ht="15.75" thickBot="1" x14ac:dyDescent="0.3">
      <c r="A1445" s="46"/>
      <c r="B1445" s="46"/>
      <c r="C1445" s="46"/>
      <c r="D1445" s="46"/>
      <c r="E1445" s="46"/>
      <c r="F1445" s="46"/>
    </row>
    <row r="1446" spans="1:6" ht="15.75" thickBot="1" x14ac:dyDescent="0.3">
      <c r="A1446" s="38" t="s">
        <v>39</v>
      </c>
      <c r="B1446" s="38" t="s">
        <v>40</v>
      </c>
      <c r="C1446" s="38" t="s">
        <v>41</v>
      </c>
      <c r="D1446" s="38" t="s">
        <v>42</v>
      </c>
      <c r="E1446" s="38" t="s">
        <v>43</v>
      </c>
      <c r="F1446" s="38" t="s">
        <v>44</v>
      </c>
    </row>
    <row r="1447" spans="1:6" x14ac:dyDescent="0.25">
      <c r="A1447" s="39" t="s">
        <v>143</v>
      </c>
      <c r="B1447" s="40" t="str">
        <f ca="1">IFERROR(INDEX(UNSPSCDes,MATCH(INDIRECT(ADDRESS(ROW(),COLUMN()-1,4)),UNSPSCCode,0)),IF(INDIRECT(ADDRESS(ROW(),COLUMN()-1,4))="82121905","Restauración o reparación de encuadernaciones",""))</f>
        <v/>
      </c>
      <c r="C1447" s="41" t="str">
        <f>IFERROR(VLOOKUP("UD",'[1]Informacion '!P:Q,2,FALSE),"")</f>
        <v>Unidad</v>
      </c>
      <c r="D1447" s="39">
        <v>1100</v>
      </c>
      <c r="E1447" s="42">
        <v>1090</v>
      </c>
      <c r="F1447" s="43">
        <f ca="1">INDIRECT(ADDRESS(ROW(),COLUMN()-2,4))*INDIRECT(ADDRESS(ROW(),COLUMN()-1,4))</f>
        <v>1199000</v>
      </c>
    </row>
    <row r="1448" spans="1:6" x14ac:dyDescent="0.25">
      <c r="A1448" s="46"/>
      <c r="B1448" s="46"/>
      <c r="C1448" s="46"/>
      <c r="D1448" s="46"/>
      <c r="E1448" s="44" t="s">
        <v>46</v>
      </c>
      <c r="F1448" s="45">
        <f ca="1">SUM(Table55[MONTO TOTAL ESTIMADO])</f>
        <v>1199000</v>
      </c>
    </row>
    <row r="1449" spans="1:6" ht="15.75" thickBot="1" x14ac:dyDescent="0.3">
      <c r="A1449" s="46"/>
      <c r="B1449" s="46"/>
      <c r="C1449" s="46"/>
      <c r="D1449" s="46"/>
      <c r="E1449" s="46"/>
      <c r="F1449" s="46"/>
    </row>
    <row r="1450" spans="1:6" ht="34.5" thickBot="1" x14ac:dyDescent="0.3">
      <c r="A1450" s="29" t="s">
        <v>18</v>
      </c>
      <c r="B1450" s="29" t="s">
        <v>19</v>
      </c>
      <c r="C1450" s="29" t="s">
        <v>20</v>
      </c>
      <c r="D1450" s="29" t="s">
        <v>21</v>
      </c>
      <c r="E1450" s="29" t="s">
        <v>22</v>
      </c>
      <c r="F1450" s="29" t="s">
        <v>23</v>
      </c>
    </row>
    <row r="1451" spans="1:6" ht="15.75" thickBot="1" x14ac:dyDescent="0.3">
      <c r="A1451" s="30" t="s">
        <v>177</v>
      </c>
      <c r="B1451" s="30" t="s">
        <v>178</v>
      </c>
      <c r="C1451" s="30" t="s">
        <v>26</v>
      </c>
      <c r="D1451" s="30" t="s">
        <v>90</v>
      </c>
      <c r="E1451" s="30" t="s">
        <v>28</v>
      </c>
      <c r="F1451" s="30" t="s">
        <v>17</v>
      </c>
    </row>
    <row r="1452" spans="1:6" ht="15.75" thickBot="1" x14ac:dyDescent="0.3">
      <c r="A1452" s="31" t="s">
        <v>29</v>
      </c>
      <c r="B1452" s="32" t="s">
        <v>30</v>
      </c>
      <c r="C1452" s="33">
        <v>46182</v>
      </c>
      <c r="D1452" s="31" t="s">
        <v>31</v>
      </c>
      <c r="E1452" s="34" t="s">
        <v>32</v>
      </c>
      <c r="F1452" s="35" t="s">
        <v>33</v>
      </c>
    </row>
    <row r="1453" spans="1:6" ht="15.75" thickBot="1" x14ac:dyDescent="0.3">
      <c r="A1453" s="36"/>
      <c r="B1453" s="32" t="s">
        <v>34</v>
      </c>
      <c r="C1453" s="37">
        <f>IF(C1452="","",IF(AND(MONTH(C1452)&gt;=1,MONTH(C1452)&lt;=3),1,IF(AND(MONTH(C1452)&gt;=4,MONTH(C1452)&lt;=6),2,IF(AND(MONTH(C1452)&gt;=7,MONTH(C1452)&lt;=9),3,4))))</f>
        <v>2</v>
      </c>
      <c r="D1453" s="36"/>
      <c r="E1453" s="34" t="s">
        <v>35</v>
      </c>
      <c r="F1453" s="35"/>
    </row>
    <row r="1454" spans="1:6" ht="15.75" thickBot="1" x14ac:dyDescent="0.3">
      <c r="A1454" s="36"/>
      <c r="B1454" s="32" t="s">
        <v>36</v>
      </c>
      <c r="C1454" s="33">
        <v>46304</v>
      </c>
      <c r="D1454" s="36"/>
      <c r="E1454" s="34" t="s">
        <v>37</v>
      </c>
      <c r="F1454" s="35"/>
    </row>
    <row r="1455" spans="1:6" ht="15.75" thickBot="1" x14ac:dyDescent="0.3">
      <c r="A1455" s="36"/>
      <c r="B1455" s="32" t="s">
        <v>34</v>
      </c>
      <c r="C1455" s="37">
        <f>IF(C1454="","",IF(AND(MONTH(C1454)&gt;=1,MONTH(C1454)&lt;=3),1,IF(AND(MONTH(C1454)&gt;=4,MONTH(C1454)&lt;=6),2,IF(AND(MONTH(C1454)&gt;=7,MONTH(C1454)&lt;=9),3,4))))</f>
        <v>4</v>
      </c>
      <c r="D1455" s="36"/>
      <c r="E1455" s="34" t="s">
        <v>38</v>
      </c>
      <c r="F1455" s="35"/>
    </row>
    <row r="1456" spans="1:6" ht="15.75" thickBot="1" x14ac:dyDescent="0.3">
      <c r="A1456" s="46"/>
      <c r="B1456" s="46"/>
      <c r="C1456" s="46"/>
      <c r="D1456" s="46"/>
      <c r="E1456" s="46"/>
      <c r="F1456" s="46"/>
    </row>
    <row r="1457" spans="1:6" ht="15.75" thickBot="1" x14ac:dyDescent="0.3">
      <c r="A1457" s="38" t="s">
        <v>39</v>
      </c>
      <c r="B1457" s="38" t="s">
        <v>40</v>
      </c>
      <c r="C1457" s="38" t="s">
        <v>41</v>
      </c>
      <c r="D1457" s="38" t="s">
        <v>42</v>
      </c>
      <c r="E1457" s="38" t="s">
        <v>43</v>
      </c>
      <c r="F1457" s="38" t="s">
        <v>44</v>
      </c>
    </row>
    <row r="1458" spans="1:6" x14ac:dyDescent="0.25">
      <c r="A1458" s="39">
        <v>14111703</v>
      </c>
      <c r="B1458" s="40" t="str">
        <f ca="1">IFERROR(INDEX(UNSPSCDes,MATCH(INDIRECT(ADDRESS(ROW(),COLUMN()-1,4)),UNSPSCCode,0)),IF(INDIRECT(ADDRESS(ROW(),COLUMN()-1,4))="40101704","Unidades de condensación",""))</f>
        <v>Toallas de papel</v>
      </c>
      <c r="C1458" s="41" t="str">
        <f>IFERROR(VLOOKUP("UD",'[1]Informacion '!P:Q,2,FALSE),"")</f>
        <v>Unidad</v>
      </c>
      <c r="D1458" s="39">
        <v>300</v>
      </c>
      <c r="E1458" s="42">
        <v>750</v>
      </c>
      <c r="F1458" s="43">
        <f ca="1">INDIRECT(ADDRESS(ROW(),COLUMN()-2,4))*INDIRECT(ADDRESS(ROW(),COLUMN()-1,4))</f>
        <v>225000</v>
      </c>
    </row>
    <row r="1459" spans="1:6" x14ac:dyDescent="0.25">
      <c r="A1459" s="46"/>
      <c r="B1459" s="46"/>
      <c r="C1459" s="46"/>
      <c r="D1459" s="46"/>
      <c r="E1459" s="44" t="s">
        <v>46</v>
      </c>
      <c r="F1459" s="45">
        <f ca="1">SUM(Table56[MONTO TOTAL ESTIMADO])</f>
        <v>225000</v>
      </c>
    </row>
    <row r="1460" spans="1:6" ht="15.75" thickBot="1" x14ac:dyDescent="0.3">
      <c r="A1460" s="46"/>
      <c r="B1460" s="46"/>
      <c r="C1460" s="46"/>
      <c r="D1460" s="46"/>
      <c r="E1460" s="46"/>
      <c r="F1460" s="46"/>
    </row>
    <row r="1461" spans="1:6" ht="34.5" thickBot="1" x14ac:dyDescent="0.3">
      <c r="A1461" s="29" t="s">
        <v>18</v>
      </c>
      <c r="B1461" s="29" t="s">
        <v>19</v>
      </c>
      <c r="C1461" s="29" t="s">
        <v>20</v>
      </c>
      <c r="D1461" s="29" t="s">
        <v>21</v>
      </c>
      <c r="E1461" s="29" t="s">
        <v>22</v>
      </c>
      <c r="F1461" s="29" t="s">
        <v>23</v>
      </c>
    </row>
    <row r="1462" spans="1:6" ht="15.75" thickBot="1" x14ac:dyDescent="0.3">
      <c r="A1462" s="30" t="s">
        <v>179</v>
      </c>
      <c r="B1462" s="30" t="s">
        <v>180</v>
      </c>
      <c r="C1462" s="30" t="s">
        <v>26</v>
      </c>
      <c r="D1462" s="30" t="s">
        <v>90</v>
      </c>
      <c r="E1462" s="30" t="s">
        <v>28</v>
      </c>
      <c r="F1462" s="30" t="s">
        <v>181</v>
      </c>
    </row>
    <row r="1463" spans="1:6" ht="15.75" thickBot="1" x14ac:dyDescent="0.3">
      <c r="A1463" s="31" t="s">
        <v>29</v>
      </c>
      <c r="B1463" s="32" t="s">
        <v>30</v>
      </c>
      <c r="C1463" s="33">
        <v>46379</v>
      </c>
      <c r="D1463" s="31" t="s">
        <v>31</v>
      </c>
      <c r="E1463" s="34" t="s">
        <v>32</v>
      </c>
      <c r="F1463" s="35" t="s">
        <v>33</v>
      </c>
    </row>
    <row r="1464" spans="1:6" ht="15.75" thickBot="1" x14ac:dyDescent="0.3">
      <c r="A1464" s="36"/>
      <c r="B1464" s="32" t="s">
        <v>34</v>
      </c>
      <c r="C1464" s="37">
        <f>IF(C1463="","",IF(AND(MONTH(C1463)&gt;=1,MONTH(C1463)&lt;=3),1,IF(AND(MONTH(C1463)&gt;=4,MONTH(C1463)&lt;=6),2,IF(AND(MONTH(C1463)&gt;=7,MONTH(C1463)&lt;=9),3,4))))</f>
        <v>4</v>
      </c>
      <c r="D1464" s="36"/>
      <c r="E1464" s="34" t="s">
        <v>35</v>
      </c>
      <c r="F1464" s="35"/>
    </row>
    <row r="1465" spans="1:6" ht="15.75" thickBot="1" x14ac:dyDescent="0.3">
      <c r="A1465" s="36"/>
      <c r="B1465" s="32" t="s">
        <v>36</v>
      </c>
      <c r="C1465" s="33">
        <v>46386</v>
      </c>
      <c r="D1465" s="36"/>
      <c r="E1465" s="34" t="s">
        <v>37</v>
      </c>
      <c r="F1465" s="35"/>
    </row>
    <row r="1466" spans="1:6" ht="15.75" thickBot="1" x14ac:dyDescent="0.3">
      <c r="A1466" s="36"/>
      <c r="B1466" s="32" t="s">
        <v>34</v>
      </c>
      <c r="C1466" s="37">
        <f>IF(C1465="","",IF(AND(MONTH(C1465)&gt;=1,MONTH(C1465)&lt;=3),1,IF(AND(MONTH(C1465)&gt;=4,MONTH(C1465)&lt;=6),2,IF(AND(MONTH(C1465)&gt;=7,MONTH(C1465)&lt;=9),3,4))))</f>
        <v>4</v>
      </c>
      <c r="D1466" s="36"/>
      <c r="E1466" s="34" t="s">
        <v>38</v>
      </c>
      <c r="F1466" s="35"/>
    </row>
    <row r="1467" spans="1:6" ht="15.75" thickBot="1" x14ac:dyDescent="0.3">
      <c r="A1467" s="46"/>
      <c r="B1467" s="46"/>
      <c r="C1467" s="46"/>
      <c r="D1467" s="46"/>
      <c r="E1467" s="46"/>
      <c r="F1467" s="46"/>
    </row>
    <row r="1468" spans="1:6" ht="15.75" thickBot="1" x14ac:dyDescent="0.3">
      <c r="A1468" s="38" t="s">
        <v>39</v>
      </c>
      <c r="B1468" s="38" t="s">
        <v>40</v>
      </c>
      <c r="C1468" s="38" t="s">
        <v>41</v>
      </c>
      <c r="D1468" s="38" t="s">
        <v>42</v>
      </c>
      <c r="E1468" s="38" t="s">
        <v>43</v>
      </c>
      <c r="F1468" s="38" t="s">
        <v>44</v>
      </c>
    </row>
    <row r="1469" spans="1:6" ht="22.5" x14ac:dyDescent="0.25">
      <c r="A1469" s="39" t="s">
        <v>181</v>
      </c>
      <c r="B1469" s="40" t="str">
        <f ca="1">IFERROR(INDEX(UNSPSCDes,MATCH(INDIRECT(ADDRESS(ROW(),COLUMN()-1,4)),UNSPSCCode,0)),IF(INDIRECT(ADDRESS(ROW(),COLUMN()-1,4))="53101602","Camisa para hombres",""))</f>
        <v>Camisa para hombres</v>
      </c>
      <c r="C1469" s="41" t="str">
        <f>IFERROR(VLOOKUP("UD",'[1]Informacion '!P:Q,2,FALSE),"")</f>
        <v>Unidad</v>
      </c>
      <c r="D1469" s="39">
        <v>25</v>
      </c>
      <c r="E1469" s="42">
        <v>6200</v>
      </c>
      <c r="F1469" s="43">
        <f ca="1">INDIRECT(ADDRESS(ROW(),COLUMN()-2,4))*INDIRECT(ADDRESS(ROW(),COLUMN()-1,4))</f>
        <v>155000</v>
      </c>
    </row>
    <row r="1470" spans="1:6" x14ac:dyDescent="0.25">
      <c r="A1470" s="39" t="s">
        <v>182</v>
      </c>
      <c r="B1470" s="40" t="str">
        <f ca="1">IFERROR(INDEX(UNSPSCDes,MATCH(INDIRECT(ADDRESS(ROW(),COLUMN()-1,4)),UNSPSCCode,0)),IF(INDIRECT(ADDRESS(ROW(),COLUMN()-1,4))="82121510","Impresión textil",""))</f>
        <v>Impresión textil</v>
      </c>
      <c r="C1470" s="41" t="str">
        <f>IFERROR(VLOOKUP("UD",'[1]Informacion '!P:Q,2,FALSE),"")</f>
        <v>Unidad</v>
      </c>
      <c r="D1470" s="39">
        <v>25</v>
      </c>
      <c r="E1470" s="42">
        <v>1000</v>
      </c>
      <c r="F1470" s="43">
        <f ca="1">INDIRECT(ADDRESS(ROW(),COLUMN()-2,4))*INDIRECT(ADDRESS(ROW(),COLUMN()-1,4))</f>
        <v>25000</v>
      </c>
    </row>
    <row r="1471" spans="1:6" x14ac:dyDescent="0.25">
      <c r="A1471" s="46"/>
      <c r="B1471" s="46"/>
      <c r="C1471" s="46"/>
      <c r="D1471" s="46"/>
      <c r="E1471" s="44" t="s">
        <v>46</v>
      </c>
      <c r="F1471" s="45">
        <f ca="1">SUM(Table57[MONTO TOTAL ESTIMADO])</f>
        <v>180000</v>
      </c>
    </row>
    <row r="1472" spans="1:6" ht="15.75" thickBot="1" x14ac:dyDescent="0.3">
      <c r="A1472" s="46"/>
      <c r="B1472" s="46"/>
      <c r="C1472" s="46"/>
      <c r="D1472" s="46"/>
      <c r="E1472" s="46"/>
      <c r="F1472" s="46"/>
    </row>
    <row r="1473" spans="1:6" ht="34.5" thickBot="1" x14ac:dyDescent="0.3">
      <c r="A1473" s="29" t="s">
        <v>18</v>
      </c>
      <c r="B1473" s="29" t="s">
        <v>19</v>
      </c>
      <c r="C1473" s="29" t="s">
        <v>20</v>
      </c>
      <c r="D1473" s="29" t="s">
        <v>21</v>
      </c>
      <c r="E1473" s="29" t="s">
        <v>22</v>
      </c>
      <c r="F1473" s="29" t="s">
        <v>23</v>
      </c>
    </row>
    <row r="1474" spans="1:6" ht="15.75" thickBot="1" x14ac:dyDescent="0.3">
      <c r="A1474" s="30" t="s">
        <v>183</v>
      </c>
      <c r="B1474" s="30" t="s">
        <v>184</v>
      </c>
      <c r="C1474" s="30" t="s">
        <v>26</v>
      </c>
      <c r="D1474" s="30" t="s">
        <v>27</v>
      </c>
      <c r="E1474" s="30" t="s">
        <v>76</v>
      </c>
      <c r="F1474" s="30" t="s">
        <v>185</v>
      </c>
    </row>
    <row r="1475" spans="1:6" ht="15.75" thickBot="1" x14ac:dyDescent="0.3">
      <c r="A1475" s="31" t="s">
        <v>29</v>
      </c>
      <c r="B1475" s="32" t="s">
        <v>30</v>
      </c>
      <c r="C1475" s="33">
        <v>46346</v>
      </c>
      <c r="D1475" s="31" t="s">
        <v>31</v>
      </c>
      <c r="E1475" s="34" t="s">
        <v>32</v>
      </c>
      <c r="F1475" s="35" t="s">
        <v>33</v>
      </c>
    </row>
    <row r="1476" spans="1:6" ht="15.75" thickBot="1" x14ac:dyDescent="0.3">
      <c r="A1476" s="36"/>
      <c r="B1476" s="32" t="s">
        <v>34</v>
      </c>
      <c r="C1476" s="37">
        <f>IF(C1475="","",IF(AND(MONTH(C1475)&gt;=1,MONTH(C1475)&lt;=3),1,IF(AND(MONTH(C1475)&gt;=4,MONTH(C1475)&lt;=6),2,IF(AND(MONTH(C1475)&gt;=7,MONTH(C1475)&lt;=9),3,4))))</f>
        <v>4</v>
      </c>
      <c r="D1476" s="36"/>
      <c r="E1476" s="34" t="s">
        <v>35</v>
      </c>
      <c r="F1476" s="35"/>
    </row>
    <row r="1477" spans="1:6" ht="15.75" thickBot="1" x14ac:dyDescent="0.3">
      <c r="A1477" s="36"/>
      <c r="B1477" s="32" t="s">
        <v>36</v>
      </c>
      <c r="C1477" s="33">
        <v>46358</v>
      </c>
      <c r="D1477" s="36"/>
      <c r="E1477" s="34" t="s">
        <v>37</v>
      </c>
      <c r="F1477" s="35"/>
    </row>
    <row r="1478" spans="1:6" ht="15.75" thickBot="1" x14ac:dyDescent="0.3">
      <c r="A1478" s="36"/>
      <c r="B1478" s="32" t="s">
        <v>34</v>
      </c>
      <c r="C1478" s="37">
        <f>IF(C1477="","",IF(AND(MONTH(C1477)&gt;=1,MONTH(C1477)&lt;=3),1,IF(AND(MONTH(C1477)&gt;=4,MONTH(C1477)&lt;=6),2,IF(AND(MONTH(C1477)&gt;=7,MONTH(C1477)&lt;=9),3,4))))</f>
        <v>4</v>
      </c>
      <c r="D1478" s="36"/>
      <c r="E1478" s="34" t="s">
        <v>38</v>
      </c>
      <c r="F1478" s="35"/>
    </row>
    <row r="1479" spans="1:6" ht="15.75" thickBot="1" x14ac:dyDescent="0.3">
      <c r="A1479" s="46"/>
      <c r="B1479" s="46"/>
      <c r="C1479" s="46"/>
      <c r="D1479" s="46"/>
      <c r="E1479" s="46"/>
      <c r="F1479" s="46"/>
    </row>
    <row r="1480" spans="1:6" ht="15.75" thickBot="1" x14ac:dyDescent="0.3">
      <c r="A1480" s="38" t="s">
        <v>39</v>
      </c>
      <c r="B1480" s="38" t="s">
        <v>40</v>
      </c>
      <c r="C1480" s="38" t="s">
        <v>41</v>
      </c>
      <c r="D1480" s="38" t="s">
        <v>42</v>
      </c>
      <c r="E1480" s="38" t="s">
        <v>43</v>
      </c>
      <c r="F1480" s="38" t="s">
        <v>44</v>
      </c>
    </row>
    <row r="1481" spans="1:6" ht="22.5" x14ac:dyDescent="0.25">
      <c r="A1481" s="39" t="s">
        <v>185</v>
      </c>
      <c r="B1481" s="40" t="str">
        <f ca="1">IFERROR(INDEX(UNSPSCDes,MATCH(INDIRECT(ADDRESS(ROW(),COLUMN()-1,4)),UNSPSCCode,0)),IF(INDIRECT(ADDRESS(ROW(),COLUMN()-1,4))="43211507","Computadores de escritorio",""))</f>
        <v>Computadores de escritorio</v>
      </c>
      <c r="C1481" s="41" t="str">
        <f>IFERROR(VLOOKUP("UD",'[1]Informacion '!P:Q,2,FALSE),"")</f>
        <v>Unidad</v>
      </c>
      <c r="D1481" s="39">
        <v>24</v>
      </c>
      <c r="E1481" s="42">
        <v>10080</v>
      </c>
      <c r="F1481" s="43">
        <f t="shared" ref="F1481:F1492" ca="1" si="66">INDIRECT(ADDRESS(ROW(),COLUMN()-2,4))*INDIRECT(ADDRESS(ROW(),COLUMN()-1,4))</f>
        <v>241920</v>
      </c>
    </row>
    <row r="1482" spans="1:6" ht="22.5" x14ac:dyDescent="0.25">
      <c r="A1482" s="39" t="s">
        <v>185</v>
      </c>
      <c r="B1482" s="40" t="str">
        <f ca="1">IFERROR(INDEX(UNSPSCDes,MATCH(INDIRECT(ADDRESS(ROW(),COLUMN()-1,4)),UNSPSCCode,0)),IF(INDIRECT(ADDRESS(ROW(),COLUMN()-1,4))="43211507","Computadores de escritorio",""))</f>
        <v>Computadores de escritorio</v>
      </c>
      <c r="C1482" s="41" t="str">
        <f>IFERROR(VLOOKUP("UD",'[1]Informacion '!P:Q,2,FALSE),"")</f>
        <v>Unidad</v>
      </c>
      <c r="D1482" s="39">
        <v>24</v>
      </c>
      <c r="E1482" s="42">
        <v>7000</v>
      </c>
      <c r="F1482" s="43">
        <f t="shared" ca="1" si="66"/>
        <v>168000</v>
      </c>
    </row>
    <row r="1483" spans="1:6" ht="16.5" customHeight="1" x14ac:dyDescent="0.25">
      <c r="A1483" s="39" t="s">
        <v>186</v>
      </c>
      <c r="B1483" s="40" t="str">
        <f ca="1">IFERROR(INDEX(UNSPSCDes,MATCH(INDIRECT(ADDRESS(ROW(),COLUMN()-1,4)),UNSPSCCode,0)),IF(INDIRECT(ADDRESS(ROW(),COLUMN()-1,4))="43211706","Teclados",""))</f>
        <v>Teclados</v>
      </c>
      <c r="C1483" s="41" t="str">
        <f>IFERROR(VLOOKUP("UD",'[1]Informacion '!P:Q,2,FALSE),"")</f>
        <v>Unidad</v>
      </c>
      <c r="D1483" s="39">
        <v>40</v>
      </c>
      <c r="E1483" s="42">
        <v>400</v>
      </c>
      <c r="F1483" s="43">
        <f t="shared" ca="1" si="66"/>
        <v>16000</v>
      </c>
    </row>
    <row r="1484" spans="1:6" ht="26.25" customHeight="1" x14ac:dyDescent="0.25">
      <c r="A1484" s="39" t="s">
        <v>187</v>
      </c>
      <c r="B1484" s="40" t="str">
        <f ca="1">IFERROR(INDEX(UNSPSCDes,MATCH(INDIRECT(ADDRESS(ROW(),COLUMN()-1,4)),UNSPSCCode,0)),IF(INDIRECT(ADDRESS(ROW(),COLUMN()-1,4))="43211708","Mouse o bola de seguimiento para computador",""))</f>
        <v>Mouse o bola de seguimiento para computador</v>
      </c>
      <c r="C1484" s="41" t="str">
        <f>IFERROR(VLOOKUP("UD",'[1]Informacion '!P:Q,2,FALSE),"")</f>
        <v>Unidad</v>
      </c>
      <c r="D1484" s="39">
        <v>43</v>
      </c>
      <c r="E1484" s="42">
        <v>290</v>
      </c>
      <c r="F1484" s="43">
        <f t="shared" ca="1" si="66"/>
        <v>12470</v>
      </c>
    </row>
    <row r="1485" spans="1:6" ht="21.75" customHeight="1" x14ac:dyDescent="0.25">
      <c r="A1485" s="39" t="s">
        <v>188</v>
      </c>
      <c r="B1485" s="40" t="str">
        <f ca="1">IFERROR(INDEX(UNSPSCDes,MATCH(INDIRECT(ADDRESS(ROW(),COLUMN()-1,4)),UNSPSCCode,0)),IF(INDIRECT(ADDRESS(ROW(),COLUMN()-1,4))="39121004","Unidades de suministro de energía",""))</f>
        <v>Unidades de suministro de energía</v>
      </c>
      <c r="C1485" s="41" t="str">
        <f>IFERROR(VLOOKUP("UD",'[1]Informacion '!P:Q,2,FALSE),"")</f>
        <v>Unidad</v>
      </c>
      <c r="D1485" s="39">
        <v>24</v>
      </c>
      <c r="E1485" s="42">
        <v>4000</v>
      </c>
      <c r="F1485" s="43">
        <f t="shared" ca="1" si="66"/>
        <v>96000</v>
      </c>
    </row>
    <row r="1486" spans="1:6" ht="22.5" x14ac:dyDescent="0.25">
      <c r="A1486" s="39" t="s">
        <v>189</v>
      </c>
      <c r="B1486" s="40" t="str">
        <f ca="1">IFERROR(INDEX(UNSPSCDes,MATCH(INDIRECT(ADDRESS(ROW(),COLUMN()-1,4)),UNSPSCCode,0)),IF(INDIRECT(ADDRESS(ROW(),COLUMN()-1,4))="26121629","Cable de alimentación",""))</f>
        <v>Cable de alimentación</v>
      </c>
      <c r="C1486" s="41" t="str">
        <f>IFERROR(VLOOKUP("UD",'[1]Informacion '!P:Q,2,FALSE),"")</f>
        <v>Unidad</v>
      </c>
      <c r="D1486" s="39">
        <v>32</v>
      </c>
      <c r="E1486" s="42">
        <v>139</v>
      </c>
      <c r="F1486" s="43">
        <f t="shared" ca="1" si="66"/>
        <v>4448</v>
      </c>
    </row>
    <row r="1487" spans="1:6" ht="22.5" x14ac:dyDescent="0.25">
      <c r="A1487" s="39" t="s">
        <v>189</v>
      </c>
      <c r="B1487" s="40" t="str">
        <f ca="1">IFERROR(INDEX(UNSPSCDes,MATCH(INDIRECT(ADDRESS(ROW(),COLUMN()-1,4)),UNSPSCCode,0)),IF(INDIRECT(ADDRESS(ROW(),COLUMN()-1,4))="26121629","Cable de alimentación",""))</f>
        <v>Cable de alimentación</v>
      </c>
      <c r="C1487" s="41" t="str">
        <f>IFERROR(VLOOKUP("UD",'[1]Informacion '!P:Q,2,FALSE),"")</f>
        <v>Unidad</v>
      </c>
      <c r="D1487" s="39">
        <v>24</v>
      </c>
      <c r="E1487" s="42">
        <v>275</v>
      </c>
      <c r="F1487" s="43">
        <f t="shared" ca="1" si="66"/>
        <v>6600</v>
      </c>
    </row>
    <row r="1488" spans="1:6" ht="25.5" customHeight="1" x14ac:dyDescent="0.25">
      <c r="A1488" s="39" t="s">
        <v>190</v>
      </c>
      <c r="B1488" s="40" t="str">
        <f ca="1">IFERROR(INDEX(UNSPSCDes,MATCH(INDIRECT(ADDRESS(ROW(),COLUMN()-1,4)),UNSPSCCode,0)),IF(INDIRECT(ADDRESS(ROW(),COLUMN()-1,4))="43201810","Disco versátil digital dvd de sólo lectura",""))</f>
        <v>Disco versátil digital dvd de sólo lectura</v>
      </c>
      <c r="C1488" s="41" t="str">
        <f>IFERROR(VLOOKUP("UD",'[1]Informacion '!P:Q,2,FALSE),"")</f>
        <v>Unidad</v>
      </c>
      <c r="D1488" s="39">
        <v>20</v>
      </c>
      <c r="E1488" s="42">
        <v>2450</v>
      </c>
      <c r="F1488" s="43">
        <f t="shared" ca="1" si="66"/>
        <v>49000</v>
      </c>
    </row>
    <row r="1489" spans="1:6" ht="22.5" x14ac:dyDescent="0.25">
      <c r="A1489" s="39" t="s">
        <v>191</v>
      </c>
      <c r="B1489" s="40" t="str">
        <f ca="1">IFERROR(INDEX(UNSPSCDes,MATCH(INDIRECT(ADDRESS(ROW(),COLUMN()-1,4)),UNSPSCCode,0)),IF(INDIRECT(ADDRESS(ROW(),COLUMN()-1,4))="39121409","Conectores de cables eléctricos",""))</f>
        <v>Conectores de cables eléctricos</v>
      </c>
      <c r="C1489" s="41" t="str">
        <f>IFERROR(VLOOKUP("UD",'[1]Informacion '!P:Q,2,FALSE),"")</f>
        <v>Unidad</v>
      </c>
      <c r="D1489" s="39">
        <v>2</v>
      </c>
      <c r="E1489" s="42">
        <v>100</v>
      </c>
      <c r="F1489" s="43">
        <f t="shared" ca="1" si="66"/>
        <v>200</v>
      </c>
    </row>
    <row r="1490" spans="1:6" ht="25.5" customHeight="1" x14ac:dyDescent="0.25">
      <c r="A1490" s="39" t="s">
        <v>192</v>
      </c>
      <c r="B1490" s="40" t="str">
        <f ca="1">IFERROR(INDEX(UNSPSCDes,MATCH(INDIRECT(ADDRESS(ROW(),COLUMN()-1,4)),UNSPSCCode,0)),IF(INDIRECT(ADDRESS(ROW(),COLUMN()-1,4))="43222819","Paneles de conexión de puertos",""))</f>
        <v>Paneles de conexión de puertos</v>
      </c>
      <c r="C1490" s="41" t="str">
        <f>IFERROR(VLOOKUP("UD",'[1]Informacion '!P:Q,2,FALSE),"")</f>
        <v>Unidad</v>
      </c>
      <c r="D1490" s="39">
        <v>5</v>
      </c>
      <c r="E1490" s="42">
        <v>1200</v>
      </c>
      <c r="F1490" s="43">
        <f t="shared" ca="1" si="66"/>
        <v>6000</v>
      </c>
    </row>
    <row r="1491" spans="1:6" ht="20.25" customHeight="1" x14ac:dyDescent="0.25">
      <c r="A1491" s="39" t="s">
        <v>193</v>
      </c>
      <c r="B1491" s="40" t="str">
        <f ca="1">IFERROR(INDEX(UNSPSCDes,MATCH(INDIRECT(ADDRESS(ROW(),COLUMN()-1,4)),UNSPSCCode,0)),IF(INDIRECT(ADDRESS(ROW(),COLUMN()-1,4))="26111701","Baterías recargables",""))</f>
        <v>Baterías recargables</v>
      </c>
      <c r="C1491" s="41" t="str">
        <f>IFERROR(VLOOKUP("UD",'[1]Informacion '!P:Q,2,FALSE),"")</f>
        <v>Unidad</v>
      </c>
      <c r="D1491" s="39">
        <v>25</v>
      </c>
      <c r="E1491" s="42">
        <v>15500</v>
      </c>
      <c r="F1491" s="43">
        <f t="shared" ca="1" si="66"/>
        <v>387500</v>
      </c>
    </row>
    <row r="1492" spans="1:6" ht="16.5" customHeight="1" x14ac:dyDescent="0.25">
      <c r="A1492" s="39" t="s">
        <v>194</v>
      </c>
      <c r="B1492" s="40" t="str">
        <f ca="1">IFERROR(INDEX(UNSPSCDes,MATCH(INDIRECT(ADDRESS(ROW(),COLUMN()-1,4)),UNSPSCCode,0)),IF(INDIRECT(ADDRESS(ROW(),COLUMN()-1,4))="43212101","Impresoras de banda",""))</f>
        <v>Impresoras de banda</v>
      </c>
      <c r="C1492" s="41" t="str">
        <f>IFERROR(VLOOKUP("UD",'[1]Informacion '!P:Q,2,FALSE),"")</f>
        <v>Unidad</v>
      </c>
      <c r="D1492" s="39">
        <v>2</v>
      </c>
      <c r="E1492" s="42">
        <v>17500</v>
      </c>
      <c r="F1492" s="43">
        <f t="shared" ca="1" si="66"/>
        <v>35000</v>
      </c>
    </row>
    <row r="1493" spans="1:6" x14ac:dyDescent="0.25">
      <c r="A1493" s="46"/>
      <c r="B1493" s="46"/>
      <c r="C1493" s="46"/>
      <c r="D1493" s="46"/>
      <c r="E1493" s="44" t="s">
        <v>46</v>
      </c>
      <c r="F1493" s="45">
        <f ca="1">SUM(Table58[MONTO TOTAL ESTIMADO])</f>
        <v>1023138</v>
      </c>
    </row>
  </sheetData>
  <protectedRanges>
    <protectedRange sqref="F5" name="Rango3_1"/>
    <protectedRange sqref="E11:E12" name="Rango2_1"/>
  </protectedRanges>
  <mergeCells count="120">
    <mergeCell ref="A1452:A1455"/>
    <mergeCell ref="D1452:D1455"/>
    <mergeCell ref="A1463:A1466"/>
    <mergeCell ref="D1463:D1466"/>
    <mergeCell ref="A1475:A1478"/>
    <mergeCell ref="D1475:D1478"/>
    <mergeCell ref="A1419:A1422"/>
    <mergeCell ref="D1419:D1422"/>
    <mergeCell ref="A1430:A1433"/>
    <mergeCell ref="D1430:D1433"/>
    <mergeCell ref="A1441:A1444"/>
    <mergeCell ref="D1441:D1444"/>
    <mergeCell ref="A1375:A1378"/>
    <mergeCell ref="D1375:D1378"/>
    <mergeCell ref="A1397:A1400"/>
    <mergeCell ref="D1397:D1400"/>
    <mergeCell ref="A1408:A1411"/>
    <mergeCell ref="D1408:D1411"/>
    <mergeCell ref="A1342:A1345"/>
    <mergeCell ref="D1342:D1345"/>
    <mergeCell ref="A1353:A1356"/>
    <mergeCell ref="D1353:D1356"/>
    <mergeCell ref="A1364:A1367"/>
    <mergeCell ref="D1364:D1367"/>
    <mergeCell ref="A1303:A1306"/>
    <mergeCell ref="D1303:D1306"/>
    <mergeCell ref="A1319:A1322"/>
    <mergeCell ref="D1319:D1322"/>
    <mergeCell ref="A1331:A1334"/>
    <mergeCell ref="D1331:D1334"/>
    <mergeCell ref="A1239:A1242"/>
    <mergeCell ref="D1239:D1242"/>
    <mergeCell ref="A1267:A1270"/>
    <mergeCell ref="D1267:D1270"/>
    <mergeCell ref="A1285:A1288"/>
    <mergeCell ref="D1285:D1288"/>
    <mergeCell ref="A1119:A1122"/>
    <mergeCell ref="D1119:D1122"/>
    <mergeCell ref="A1159:A1162"/>
    <mergeCell ref="D1159:D1162"/>
    <mergeCell ref="A1199:A1202"/>
    <mergeCell ref="D1199:D1202"/>
    <mergeCell ref="A1065:A1068"/>
    <mergeCell ref="D1065:D1068"/>
    <mergeCell ref="A1083:A1086"/>
    <mergeCell ref="D1083:D1086"/>
    <mergeCell ref="A1101:A1104"/>
    <mergeCell ref="D1101:D1104"/>
    <mergeCell ref="A1011:A1014"/>
    <mergeCell ref="D1011:D1014"/>
    <mergeCell ref="A1029:A1032"/>
    <mergeCell ref="D1029:D1032"/>
    <mergeCell ref="A1047:A1050"/>
    <mergeCell ref="D1047:D1050"/>
    <mergeCell ref="A934:A937"/>
    <mergeCell ref="D934:D937"/>
    <mergeCell ref="A949:A952"/>
    <mergeCell ref="D949:D952"/>
    <mergeCell ref="A993:A996"/>
    <mergeCell ref="D993:D996"/>
    <mergeCell ref="A889:A892"/>
    <mergeCell ref="D889:D892"/>
    <mergeCell ref="A904:A907"/>
    <mergeCell ref="D904:D907"/>
    <mergeCell ref="A919:A922"/>
    <mergeCell ref="D919:D922"/>
    <mergeCell ref="A844:A847"/>
    <mergeCell ref="D844:D847"/>
    <mergeCell ref="A859:A862"/>
    <mergeCell ref="D859:D862"/>
    <mergeCell ref="A874:A877"/>
    <mergeCell ref="D874:D877"/>
    <mergeCell ref="A760:A763"/>
    <mergeCell ref="D760:D763"/>
    <mergeCell ref="A814:A817"/>
    <mergeCell ref="D814:D817"/>
    <mergeCell ref="A829:A832"/>
    <mergeCell ref="D829:D832"/>
    <mergeCell ref="A598:A601"/>
    <mergeCell ref="D598:D601"/>
    <mergeCell ref="A652:A655"/>
    <mergeCell ref="D652:D655"/>
    <mergeCell ref="A706:A709"/>
    <mergeCell ref="D706:D709"/>
    <mergeCell ref="A436:A439"/>
    <mergeCell ref="D436:D439"/>
    <mergeCell ref="A490:A493"/>
    <mergeCell ref="D490:D493"/>
    <mergeCell ref="A544:A547"/>
    <mergeCell ref="D544:D547"/>
    <mergeCell ref="A313:A316"/>
    <mergeCell ref="D313:D316"/>
    <mergeCell ref="A354:A357"/>
    <mergeCell ref="D354:D357"/>
    <mergeCell ref="A395:A398"/>
    <mergeCell ref="D395:D398"/>
    <mergeCell ref="A190:A193"/>
    <mergeCell ref="D190:D193"/>
    <mergeCell ref="A231:A234"/>
    <mergeCell ref="D231:D234"/>
    <mergeCell ref="A272:A275"/>
    <mergeCell ref="D272:D275"/>
    <mergeCell ref="A28:A31"/>
    <mergeCell ref="D28:D31"/>
    <mergeCell ref="A105:A108"/>
    <mergeCell ref="D105:D108"/>
    <mergeCell ref="A149:A152"/>
    <mergeCell ref="D149:D152"/>
    <mergeCell ref="E9:F9"/>
    <mergeCell ref="E10:F10"/>
    <mergeCell ref="E11:F11"/>
    <mergeCell ref="E12:F12"/>
    <mergeCell ref="A17:A20"/>
    <mergeCell ref="D17:D20"/>
    <mergeCell ref="A1:A4"/>
    <mergeCell ref="B2:E2"/>
    <mergeCell ref="B3:E3"/>
    <mergeCell ref="E6:F6"/>
    <mergeCell ref="E7:F7"/>
    <mergeCell ref="E8:F8"/>
  </mergeCells>
  <dataValidations count="12">
    <dataValidation type="decimal" operator="greaterThan" allowBlank="1" showInputMessage="1" showErrorMessage="1" sqref="D1481:E1492 D1469:E1470 D1458:E1458 D1447:E1447 D1436:E1436 D1425:E1425 D1414:E1414 D1403:E1403 D1381:E1392 D1370:E1370 D1359:E1359 D1348:E1348 D1337:E1337 D1325:E1326 D1309:E1314 D1291:E1298 D1273:E1280 D1245:E1262 D1205:E1234 D1165:E1194 D1125:E1154 D1107:E1114 D1089:E1096 D1071:E1078 D1053:E1060 D1035:E1042 D1017:E1024 D999:E1006 D955:E988 D940:E944 D925:E929 D910:E914 D895:E899 D880:E884 D865:E869 D850:E854 D835:E839 D820:E824 D766:E809 D712:E755 D658:E701 D604:E647 D550:E593 D496:E539 D442:E485 D401:E431 D360:E390 D319:E349 D278:E308 D237:E267 D196:E226 D155:E185 D111:E144 D34:E100 D23:E23" xr:uid="{269C2535-FCBA-4877-9A62-3B5F6B2FDF05}">
      <formula1>0</formula1>
    </dataValidation>
    <dataValidation type="list" allowBlank="1" showInputMessage="1" showErrorMessage="1" sqref="C23 C1481:C1492 C1469:C1470 C1458 C1447 C1436 C1425 C1414 C1403 C1381:C1392 C1370 C1359 C1348 C1337 C1325:C1326 C1309:C1314 C1291:C1298 C1273:C1280 C1245:C1262 C1205:C1234 C1165:C1194 C1125:C1154 C1107:C1114 C1089:C1096 C1071:C1078 C1053:C1060 C1035:C1042 C1017:C1024 C999:C1006 C955:C988 C940:C944 C925:C929 C910:C914 C895:C899 C880:C884 C865:C869 C850:C854 C835:C839 C820:C824 C766:C809 C712:C755 C658:C701 C604:C647 C550:C593 C496:C539 C442:C485 C401:C431 C360:C390 C319:C349 C278:C308 C237:C267 C196:C226 C155:C185 C111:C144 C34:C100" xr:uid="{9D8D79A5-99EF-48D7-A9E8-7CEB524A24D7}">
      <formula1>UnidadesList</formula1>
    </dataValidation>
    <dataValidation type="whole" operator="greaterThan" allowBlank="1" showInputMessage="1" showErrorMessage="1" sqref="A23 A1481:A1492 A1469:A1470 A1458 A1447 A1436 A1425 A1414 A1403 A1381:A1392 A1370 A1359 A1348 A1337 A1325:A1326 A1309:A1314 A1291:A1298 A1273:A1280 A1245:A1262 A1205:A1234 A1165:A1194 A1125:A1154 A1107:A1114 A1089:A1096 A1071:A1078 A1053:A1060 A1035:A1042 A1017:A1024 A999:A1006 A955:A988 A940:A944 A925:A929 A910:A914 A895:A899 A880:A884 A865:A869 A850:A854 A835:A839 A820:A824 A766:A809 A712:A755 A658:A701 A604:A647 A550:A593 A496:A539 A442:A485 A401:A431 A360:A390 A319:A349 A278:A308 A237:A267 A196:A226 A155:A185 A111:A144 A34:A100" xr:uid="{F254CB2C-27C2-4F65-958F-B705FA319130}">
      <formula1>0</formula1>
    </dataValidation>
    <dataValidation type="list" allowBlank="1" showInputMessage="1" showErrorMessage="1" sqref="F20 F1478 F1466 F1455 F1444 F1433 F1422 F1411 F1400 F1378 F1367 F1356 F1345 F1334 F1322 F1306 F1288 F1270 F1242 F1202 F1162 F1122 F1104 F1086 F1068 F1050 F1032 F1014 F996 F952 F937 F922 F907 F892 F877 F862 F847 F832 F817 F763 F709 F655 F601 F547 F493 F439 F398 F357 F316 F275 F234 F193 F152 F108 F31" xr:uid="{B8067D09-3B28-443D-A175-566373793E5A}">
      <formula1>OFFSET(MunicipioStart,MATCH(INDIRECT(ADDRESS(ROW()-1,COLUMN(),4)),MunicipioColumn,0)-1,1,COUNTIF(MunicipioColumn,INDIRECT(ADDRESS(ROW()-1,COLUMN(),4))),1)</formula1>
    </dataValidation>
    <dataValidation type="list" allowBlank="1" showInputMessage="1" showErrorMessage="1" sqref="F19 F1477 F1465 F1454 F1443 F1432 F1421 F1410 F1399 F1377 F1366 F1355 F1344 F1333 F1321 F1305 F1287 F1269 F1241 F1201 F1161 F1121 F1103 F1085 F1067 F1049 F1031 F1013 F995 F951 F936 F921 F906 F891 F876 F861 F846 F831 F816 F762 F708 F654 F600 F546 F492 F438 F397 F356 F315 F274 F233 F192 F151 F107 F30" xr:uid="{37DEF8C1-DC81-49AD-98BA-2152BBCB3327}">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476 F1464 F1453 F1442 F1431 F1420 F1409 F1398 F1376 F1365 F1354 F1343 F1332 F1320 F1304 F1286 F1268 F1240 F1200 F1160 F1120 F1102 F1084 F1066 F1048 F1030 F1012 F994 F950 F935 F920 F905 F890 F875 F860 F845 F830 F815 F761 F707 F653 F599 F545 F491 F437 F396 F355 F314 F273 F232 F191 F150 F106 F29" xr:uid="{93FBA4EC-1B65-405B-A51D-3D4FA30D3111}">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475 F1463 F1452 F1441 F1430 F1419 F1408 F1397 F1375 F1364 F1353 F1342 F1331 F1319 F1303 F1285 F1267 F1239 F1199 F1159 F1119 F1101 F1083 F1065 F1047 F1029 F1011 F993 F949 F934 F919 F904 F889 F874 F859 F844 F829 F814 F760 F706 F652 F598 F544 F490 F436 F395 F354 F313 F272 F231 F190 F149 F105 F28" xr:uid="{F769BA5D-95AE-480E-8D86-A751F09F0682}">
      <formula1>IF(INDIRECT(ADDRESS(ROW()+1,COLUMN(),4))="",RegionList,INDEX(RegionColumn,MATCH(INDIRECT(ADDRESS(ROW()+1,COLUMN(),4)),ProvinciaList,0)))</formula1>
    </dataValidation>
    <dataValidation type="date" operator="greaterThanOrEqual" allowBlank="1" showInputMessage="1" showErrorMessage="1" sqref="C19 C1477 C1465 C1454 C1443 C1432 C1421 C1410 C1399 C1377 C1366 C1355 C1344 C1333 C1321 C1305 C1287 C1269 C1241 C1201 C1161 C1121 C1103 C1085 C1067 C1049 C1031 C1013 C995 C951 C936 C921 C906 C891 C876 C861 C846 C831 C816 C762 C708 C654 C600 C546 C492 C438 C397 C356 C315 C274 C233 C192 C151 C107 C30" xr:uid="{F588FBE1-7F38-47A2-9D87-3E9A5FFE0DBF}">
      <formula1>C17</formula1>
    </dataValidation>
    <dataValidation type="date" operator="lessThanOrEqual" allowBlank="1" showInputMessage="1" showErrorMessage="1" sqref="C17 C1475 C1463 C1452 C1441 C1430 C1419 C1408 C1397 C1375 C1364 C1353 C1342 C1331 C1319 C1303 C1285 C1267 C1239 C1199 C1159 C1119 C1101 C1083 C1065 C1047 C1029 C1011 C993 C949 C934 C919 C904 C889 C874 C859 C844 C829 C814 C760 C706 C652 C598 C544 C490 C436 C395 C354 C313 C272 C231 C190 C149 C105 C28" xr:uid="{62CA401E-8DD0-4059-9344-3C2DB612088B}">
      <formula1>C19</formula1>
    </dataValidation>
    <dataValidation operator="greaterThan" allowBlank="1" showInputMessage="1" showErrorMessage="1" sqref="E10:F10" xr:uid="{2D993DCE-FCE4-46DC-8468-89722A8C8FDF}"/>
    <dataValidation type="date" operator="greaterThan" allowBlank="1" showInputMessage="1" showErrorMessage="1" sqref="E12:F12" xr:uid="{04B52B28-256F-4D25-8DBD-290D562B9D75}">
      <formula1>36526</formula1>
    </dataValidation>
    <dataValidation type="whole" allowBlank="1" showInputMessage="1" showErrorMessage="1" sqref="E11:F11" xr:uid="{64F03038-C3C8-476E-B677-EFBFFDA755CF}">
      <formula1>1900</formula1>
      <formula2>3000</formula2>
    </dataValidation>
  </dataValidations>
  <pageMargins left="0.7" right="0.7" top="0.75" bottom="0.75" header="0.3" footer="0.3"/>
  <drawing r:id="rId1"/>
  <legacyDrawing r:id="rId2"/>
  <tableParts count="5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Fradén</dc:creator>
  <cp:lastModifiedBy>Juan Fradén</cp:lastModifiedBy>
  <dcterms:created xsi:type="dcterms:W3CDTF">2026-05-29T14:26:18Z</dcterms:created>
  <dcterms:modified xsi:type="dcterms:W3CDTF">2026-05-29T14:58:16Z</dcterms:modified>
</cp:coreProperties>
</file>